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apas1" sheetId="1" r:id="rId1"/>
    <sheet name="Lapas2" sheetId="2" r:id="rId2"/>
    <sheet name="Lapas3" sheetId="3" r:id="rId3"/>
    <sheet name="Lapas4" sheetId="4" r:id="rId4"/>
    <sheet name="Lapas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<sst xmlns="http://schemas.openxmlformats.org/spreadsheetml/2006/main" count="5272" uniqueCount="306">
  <si>
    <t>Duomenys apie ūkio subjektą</t>
  </si>
  <si>
    <t>UAB "Anykščių šiluma"</t>
  </si>
  <si>
    <t>Įmonės kodas 1541 12751</t>
  </si>
  <si>
    <t>Vairuotojų g.11, 29107, Anykščiai</t>
  </si>
  <si>
    <t>faksas  8 381 59441</t>
  </si>
  <si>
    <t>e.paštas ast.laima@takas.lt</t>
  </si>
  <si>
    <t>Valstybinei kainų ir energetikos kontrolės komisijai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</si>
  <si>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</si>
  <si>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</si>
  <si>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</si>
  <si>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</si>
  <si>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</si>
  <si>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</si>
  <si>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</si>
  <si>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GAMYBOS KAINOS DEDAMOSIOS</t>
  </si>
  <si>
    <t>1.1.</t>
  </si>
  <si>
    <t>1.1.1.</t>
  </si>
  <si>
    <t>1.1.2.</t>
  </si>
  <si>
    <t>Šilumos gamybos savo šaltinyje kainos pastovioji dedamoji</t>
  </si>
  <si>
    <t>šilumos gamybos savo šaltynyje kainos kintamoji dedamoji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</si>
  <si>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0,28+(4325,0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</si>
  <si>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t>1.2.</t>
  </si>
  <si>
    <t>Kuro rūšys, naudojamos šilumos kintamosios dedamosios skaičiavimuose</t>
  </si>
  <si>
    <t>1.2.1.</t>
  </si>
  <si>
    <t>Gamtinės dujos</t>
  </si>
  <si>
    <t>1.2.1.1.</t>
  </si>
  <si>
    <t>kuro žaliavos pirkimo kaina</t>
  </si>
  <si>
    <t>1.2.1.2.</t>
  </si>
  <si>
    <t>transportavimo kaina</t>
  </si>
  <si>
    <t>1.2.1.3.</t>
  </si>
  <si>
    <t>šilumos kainos skaičiavimui taikoma kaina</t>
  </si>
  <si>
    <t>1.2.2.</t>
  </si>
  <si>
    <t>Medienos kilmės biokuras</t>
  </si>
  <si>
    <r>
      <t>Lt/t</t>
    </r>
    <r>
      <rPr>
        <vertAlign val="subscript"/>
        <sz val="10"/>
        <color indexed="53"/>
        <rFont val="Times New Roman"/>
        <family val="1"/>
      </rPr>
      <t>ne</t>
    </r>
  </si>
  <si>
    <t>1.2.3.</t>
  </si>
  <si>
    <t>1.2.2.1.</t>
  </si>
  <si>
    <t>1.2.2.2.</t>
  </si>
  <si>
    <t>1.2.2.3.</t>
  </si>
  <si>
    <t>1.2.3.1.</t>
  </si>
  <si>
    <t>1.2.3.2.</t>
  </si>
  <si>
    <t>1.2.3.3.</t>
  </si>
  <si>
    <r>
      <t>Lt/tūkst.m</t>
    </r>
    <r>
      <rPr>
        <vertAlign val="superscript"/>
        <sz val="8"/>
        <color indexed="53"/>
        <rFont val="Times New Roman"/>
        <family val="1"/>
      </rPr>
      <t>3</t>
    </r>
  </si>
  <si>
    <t>1.3.</t>
  </si>
  <si>
    <t>Pirktos šilumos vidutinė kaina</t>
  </si>
  <si>
    <t>1.3.1.</t>
  </si>
  <si>
    <t>1.3.2.</t>
  </si>
  <si>
    <t>1.4.</t>
  </si>
  <si>
    <r>
      <t>T</t>
    </r>
    <r>
      <rPr>
        <b/>
        <vertAlign val="subscript"/>
        <sz val="9"/>
        <color indexed="8"/>
        <rFont val="Times New Roman"/>
        <family val="1"/>
      </rPr>
      <t>pt kd</t>
    </r>
  </si>
  <si>
    <t>1.4.1.</t>
  </si>
  <si>
    <t>vienanarės kainos pastovioji dedamoji</t>
  </si>
  <si>
    <t>1.4.2.</t>
  </si>
  <si>
    <t>vienanarės kainos kintamoji dedamoji</t>
  </si>
  <si>
    <t>1.5.</t>
  </si>
  <si>
    <t>patiektos į tinklą šilumos gamybos dvinarė kaina</t>
  </si>
  <si>
    <t>1.5.1.</t>
  </si>
  <si>
    <t>pastovioji kainos dalis</t>
  </si>
  <si>
    <t>Lt/kW per mėn.</t>
  </si>
  <si>
    <t>1.5.2.</t>
  </si>
  <si>
    <t>kintamoji kainos dalis (1.4.2.)</t>
  </si>
  <si>
    <t>ct/kWh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</si>
  <si>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</si>
  <si>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</si>
  <si>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</si>
  <si>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</si>
  <si>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</si>
  <si>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</si>
  <si>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kintamojii dedamoji</t>
  </si>
  <si>
    <t>2.2.</t>
  </si>
  <si>
    <t>šilumos perdavimo  dvinarė kaina:</t>
  </si>
  <si>
    <t>2.2.1.</t>
  </si>
  <si>
    <t>2.2.2.</t>
  </si>
  <si>
    <t>kintamoji kainos dalis</t>
  </si>
  <si>
    <t>3.</t>
  </si>
  <si>
    <t>ŠILUMOS PARDAVIMO KAINA</t>
  </si>
  <si>
    <t>šilumos pardavimo kaina už suvartotą šilumos kiekį</t>
  </si>
  <si>
    <t>šilumos pardavimo kaina gyventojams</t>
  </si>
  <si>
    <t>Lt per mėn. vart.</t>
  </si>
  <si>
    <t>šilumos pardavimo kaina kitims vartotojams</t>
  </si>
  <si>
    <t>Lt per mėn. kt. vart.</t>
  </si>
  <si>
    <t>3.1.</t>
  </si>
  <si>
    <t>4.1.</t>
  </si>
  <si>
    <t>NEPADENGTOS KURO SĄNAUDOS</t>
  </si>
  <si>
    <t>4.2.</t>
  </si>
  <si>
    <t>PAPILDOMAI GAUTOS PAJAMOS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</si>
  <si>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</si>
  <si>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</si>
  <si>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</si>
  <si>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</si>
  <si>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</si>
  <si>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</si>
  <si>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</si>
  <si>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</si>
  <si>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</si>
  <si>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</si>
  <si>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Apskaičiuotos kainos pokytis lyginant su galiojančia kaina</t>
  </si>
  <si>
    <t>proc.</t>
  </si>
  <si>
    <t>11.</t>
  </si>
  <si>
    <t>Praėjusį mėnesį savuose šaltiniuose faktiškai pagamintas šilumos kiekis</t>
  </si>
  <si>
    <t>tūkst. MWh</t>
  </si>
  <si>
    <t>12.</t>
  </si>
  <si>
    <t>Praėjusį mėnesį faktiškai realizuotas šilumos kiekis</t>
  </si>
  <si>
    <t>13.</t>
  </si>
  <si>
    <t>Praėjusį mėnesį faktiškai pirktos šilumos kiekis</t>
  </si>
  <si>
    <t xml:space="preserve">Akmens anglis </t>
  </si>
  <si>
    <t>Nepriklausomas gamintojas</t>
  </si>
  <si>
    <t>pirktos šilumos kaina</t>
  </si>
  <si>
    <t>x</t>
  </si>
  <si>
    <t>34 priedas</t>
  </si>
  <si>
    <t>KARŠTO VANDENS KAINOS DEDAMOSIOS</t>
  </si>
  <si>
    <t>karšto vandens kainos pastovioji dedamoji</t>
  </si>
  <si>
    <r>
      <t>Lt/m</t>
    </r>
    <r>
      <rPr>
        <vertAlign val="superscript"/>
        <sz val="8"/>
        <color indexed="8"/>
        <rFont val="Times New Roman"/>
        <family val="1"/>
      </rPr>
      <t>3</t>
    </r>
  </si>
  <si>
    <r>
      <t>T</t>
    </r>
    <r>
      <rPr>
        <vertAlign val="subscript"/>
        <sz val="10"/>
        <color indexed="8"/>
        <rFont val="Times New Roman"/>
        <family val="1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</si>
  <si>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</si>
  <si>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</si>
  <si>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</si>
  <si>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4.</t>
  </si>
  <si>
    <t>Geriamojo vandens pardavimo kaina</t>
  </si>
  <si>
    <t>Galutinė karšto vandens  kaina (be PVM) (1.1.+1.2.)</t>
  </si>
  <si>
    <t xml:space="preserve">Galutinė karšto vandens  kaina (su PVM) </t>
  </si>
  <si>
    <t>Galiojanti karšto vandens kaina (be PVM)</t>
  </si>
  <si>
    <t>Apskaičiuotos kainos pokytis lyginant su galiojančia karšto vandens kaina</t>
  </si>
  <si>
    <r>
      <t>T</t>
    </r>
    <r>
      <rPr>
        <vertAlign val="subscript"/>
        <sz val="10"/>
        <color indexed="8"/>
        <rFont val="Times New Roman"/>
        <family val="1"/>
      </rPr>
      <t>kv</t>
    </r>
    <r>
      <rPr>
        <sz val="10"/>
        <color indexed="8"/>
        <rFont val="Times New Roman"/>
        <family val="1"/>
      </rPr>
      <t xml:space="preserve"> = T</t>
    </r>
    <r>
      <rPr>
        <vertAlign val="subscript"/>
        <sz val="10"/>
        <color indexed="8"/>
        <rFont val="Times New Roman"/>
        <family val="1"/>
      </rPr>
      <t>kv pd</t>
    </r>
    <r>
      <rPr>
        <sz val="10"/>
        <color indexed="8"/>
        <rFont val="Times New Roman"/>
        <family val="1"/>
      </rPr>
      <t xml:space="preserve"> + T</t>
    </r>
    <r>
      <rPr>
        <vertAlign val="subscript"/>
        <sz val="10"/>
        <color indexed="8"/>
        <rFont val="Times New Roman"/>
        <family val="1"/>
      </rPr>
      <t>kv kd</t>
    </r>
  </si>
  <si>
    <t>Vnt.</t>
  </si>
  <si>
    <t>Faktiškos sąnaudos ir kaina</t>
  </si>
  <si>
    <r>
      <t>gamtinių dujų</t>
    </r>
    <r>
      <rPr>
        <sz val="8"/>
        <color indexed="8"/>
        <rFont val="Arial"/>
        <family val="2"/>
      </rPr>
      <t xml:space="preserve"> kiekis </t>
    </r>
  </si>
  <si>
    <r>
      <t>tūkst. m</t>
    </r>
    <r>
      <rPr>
        <vertAlign val="superscript"/>
        <sz val="8"/>
        <color indexed="8"/>
        <rFont val="Arial"/>
        <family val="2"/>
      </rPr>
      <t>3</t>
    </r>
  </si>
  <si>
    <t xml:space="preserve">kaloringumas </t>
  </si>
  <si>
    <r>
      <t>kcal/m</t>
    </r>
    <r>
      <rPr>
        <vertAlign val="superscript"/>
        <sz val="8"/>
        <color indexed="8"/>
        <rFont val="Arial"/>
        <family val="2"/>
      </rPr>
      <t>3</t>
    </r>
  </si>
  <si>
    <t>pirkimo sąnaudos</t>
  </si>
  <si>
    <t>tūkst. Lt</t>
  </si>
  <si>
    <t>SGDT sąnaudos</t>
  </si>
  <si>
    <t>Gamtinių dujų kaina</t>
  </si>
  <si>
    <r>
      <t>Lt/tūkst. m</t>
    </r>
    <r>
      <rPr>
        <b/>
        <vertAlign val="superscript"/>
        <sz val="8"/>
        <color indexed="8"/>
        <rFont val="Arial"/>
        <family val="2"/>
      </rPr>
      <t>3</t>
    </r>
  </si>
  <si>
    <t xml:space="preserve">iš jos    pirkimo kaina </t>
  </si>
  <si>
    <r>
      <t>Lt/tūkst. m</t>
    </r>
    <r>
      <rPr>
        <vertAlign val="superscript"/>
        <sz val="8"/>
        <color indexed="8"/>
        <rFont val="Arial"/>
        <family val="2"/>
      </rPr>
      <t>3</t>
    </r>
  </si>
  <si>
    <t xml:space="preserve">            SGDT kaina </t>
  </si>
  <si>
    <t xml:space="preserve">            transportavimo kaina pagal sutartį</t>
  </si>
  <si>
    <t>ton.</t>
  </si>
  <si>
    <t>kcal/kg</t>
  </si>
  <si>
    <t xml:space="preserve">kiekis </t>
  </si>
  <si>
    <t>tne</t>
  </si>
  <si>
    <t xml:space="preserve">sąnaudos </t>
  </si>
  <si>
    <t>Lt/tne</t>
  </si>
  <si>
    <r>
      <t>m</t>
    </r>
    <r>
      <rPr>
        <vertAlign val="superscript"/>
        <sz val="8"/>
        <color indexed="8"/>
        <rFont val="Arial"/>
        <family val="2"/>
      </rPr>
      <t>3</t>
    </r>
  </si>
  <si>
    <t xml:space="preserve">   Pjuvenos</t>
  </si>
  <si>
    <r>
      <t>pjuvenų</t>
    </r>
    <r>
      <rPr>
        <sz val="8"/>
        <color indexed="8"/>
        <rFont val="Arial"/>
        <family val="2"/>
      </rPr>
      <t xml:space="preserve"> kiekis </t>
    </r>
  </si>
  <si>
    <t>sąnaudos už pjuvenas</t>
  </si>
  <si>
    <t>žaliavos kaina</t>
  </si>
  <si>
    <t>transportavimo sąnaudos</t>
  </si>
  <si>
    <t>kitos pervežimo sąnaudos</t>
  </si>
  <si>
    <t>pjuvenų kaina su transportavimu</t>
  </si>
  <si>
    <t xml:space="preserve">   Malkos</t>
  </si>
  <si>
    <r>
      <t xml:space="preserve">Malkų </t>
    </r>
    <r>
      <rPr>
        <sz val="8"/>
        <color indexed="8"/>
        <rFont val="Arial"/>
        <family val="2"/>
      </rPr>
      <t>kiekis</t>
    </r>
  </si>
  <si>
    <t>sąnaudos už malkas</t>
  </si>
  <si>
    <t>Malkų kaina</t>
  </si>
  <si>
    <t xml:space="preserve">   Skiedros</t>
  </si>
  <si>
    <r>
      <t>Medžio skiedrų</t>
    </r>
    <r>
      <rPr>
        <sz val="8"/>
        <color indexed="8"/>
        <rFont val="Arial"/>
        <family val="2"/>
      </rPr>
      <t xml:space="preserve"> kiekis</t>
    </r>
  </si>
  <si>
    <t>sąnaudos už medžio skiedras</t>
  </si>
  <si>
    <t>Medžio skiedrų kaina</t>
  </si>
  <si>
    <t>Medienos kilmės biokuro žaliavos kaina</t>
  </si>
  <si>
    <t>Transportavimo kaina</t>
  </si>
  <si>
    <t>Pirkta šiluma</t>
  </si>
  <si>
    <t>kiekis</t>
  </si>
  <si>
    <t>sąnaudos</t>
  </si>
  <si>
    <t>Pirktos šilumos kaina</t>
  </si>
  <si>
    <r>
      <t xml:space="preserve">Dyzelino </t>
    </r>
    <r>
      <rPr>
        <sz val="8"/>
        <color indexed="8"/>
        <rFont val="Arial"/>
        <family val="2"/>
      </rPr>
      <t>natūr. kiekis</t>
    </r>
  </si>
  <si>
    <t>Dyzelino kaina</t>
  </si>
  <si>
    <t>Laima Žarskutė</t>
  </si>
  <si>
    <t>Vyresnioji ekonomistė</t>
  </si>
  <si>
    <t>Tel. 8 381 59167</t>
  </si>
  <si>
    <t>el. paštas ast.laima@takas.lt</t>
  </si>
  <si>
    <r>
      <t xml:space="preserve">T </t>
    </r>
    <r>
      <rPr>
        <vertAlign val="subscript"/>
        <sz val="12"/>
        <color indexed="8"/>
        <rFont val="Times New Roman"/>
        <family val="1"/>
      </rPr>
      <t>g nš pd</t>
    </r>
    <r>
      <rPr>
        <sz val="12"/>
        <color indexed="8"/>
        <rFont val="Times New Roman"/>
        <family val="1"/>
      </rPr>
      <t xml:space="preserve"> </t>
    </r>
  </si>
  <si>
    <t>patiektos į tinklą šilumos gamybos vienanarė kaina (1.4.1.+1.4.2.)</t>
  </si>
  <si>
    <r>
      <t xml:space="preserve">T </t>
    </r>
    <r>
      <rPr>
        <vertAlign val="subscript"/>
        <sz val="12"/>
        <color indexed="8"/>
        <rFont val="Times New Roman"/>
        <family val="1"/>
      </rPr>
      <t>pt pd</t>
    </r>
    <r>
      <rPr>
        <sz val="12"/>
        <color indexed="8"/>
        <rFont val="Times New Roman"/>
        <family val="1"/>
      </rPr>
      <t xml:space="preserve"> 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</si>
  <si>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pd</t>
    </r>
    <r>
      <rPr>
        <sz val="12"/>
        <color indexed="8"/>
        <rFont val="Times New Roman"/>
        <family val="1"/>
      </rPr>
      <t xml:space="preserve"> </t>
    </r>
  </si>
  <si>
    <r>
      <t>T</t>
    </r>
    <r>
      <rPr>
        <vertAlign val="subscript"/>
        <sz val="12"/>
        <color indexed="8"/>
        <rFont val="Times New Roman"/>
        <family val="1"/>
      </rPr>
      <t>pr kd = 0,39 + 7,24 x Tpt / 37,6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</si>
  <si>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kd</t>
    </r>
  </si>
  <si>
    <t>APSKAIČIUOTA ŠILUMOS VIENANARĖ KAINA (1.1.+2.1.+4.1.+4.2.)</t>
  </si>
  <si>
    <t>Duomenys apie kontaktinį asmenį</t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</si>
  <si>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g nš</t>
    </r>
    <r>
      <rPr>
        <b/>
        <sz val="12"/>
        <color indexed="8"/>
        <rFont val="Times New Roman"/>
        <family val="1"/>
      </rPr>
      <t xml:space="preserve"> =T </t>
    </r>
    <r>
      <rPr>
        <b/>
        <vertAlign val="subscript"/>
        <sz val="12"/>
        <color indexed="8"/>
        <rFont val="Times New Roman"/>
        <family val="1"/>
      </rPr>
      <t>g nš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g nš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</si>
  <si>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pr</t>
    </r>
    <r>
      <rPr>
        <b/>
        <sz val="12"/>
        <color indexed="8"/>
        <rFont val="Times New Roman"/>
        <family val="1"/>
      </rPr>
      <t xml:space="preserve">  = T </t>
    </r>
    <r>
      <rPr>
        <b/>
        <vertAlign val="subscript"/>
        <sz val="12"/>
        <color indexed="8"/>
        <rFont val="Times New Roman"/>
        <family val="1"/>
      </rPr>
      <t>pr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pr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</si>
  <si>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pt</t>
    </r>
    <r>
      <rPr>
        <b/>
        <sz val="12"/>
        <color indexed="8"/>
        <rFont val="Times New Roman"/>
        <family val="1"/>
      </rPr>
      <t xml:space="preserve"> = T </t>
    </r>
    <r>
      <rPr>
        <b/>
        <vertAlign val="subscript"/>
        <sz val="12"/>
        <color indexed="8"/>
        <rFont val="Times New Roman"/>
        <family val="1"/>
      </rPr>
      <t>pt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pt kd</t>
    </r>
  </si>
  <si>
    <t>šilumos perdavimo vienanarė kaina iki pastato šilumos įvado  (2.1.1.+2.1.2.)</t>
  </si>
  <si>
    <t>Šilumos gamybos savo šaltinyje vienanarė (1.1.1.+1.1.2.)</t>
  </si>
  <si>
    <t xml:space="preserve">                    ŠILUMOS KAINOS SKAIČIAVIMAS  2013 METŲ RUGPJŪČIO MĖNESIUI </t>
  </si>
  <si>
    <t xml:space="preserve">                  KARŠTO VANDENS KAINOS SKAIČIAVIMAS  2013 METŲ RUGPJŪČIO MĖNESIUI</t>
  </si>
  <si>
    <t>35 priedas</t>
  </si>
  <si>
    <r>
      <t>(52,25*T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)+(1,025*T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</si>
  <si>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X</t>
  </si>
  <si>
    <t>Direktorius</t>
  </si>
  <si>
    <t>Virgilijus Vaičiulis</t>
  </si>
  <si>
    <t>(sudarymo data)</t>
  </si>
  <si>
    <t>www.anyksciusiluma.lt</t>
  </si>
  <si>
    <t>.......................</t>
  </si>
  <si>
    <t>(parašas)</t>
  </si>
  <si>
    <t>Verkių g.25 c. Vilnius, rastine@regula.lt</t>
  </si>
  <si>
    <t>2013 m. birželio mėn. pirkto kuro kainos apskaičiavimas</t>
  </si>
  <si>
    <r>
      <t xml:space="preserve">rugpjūčio </t>
    </r>
    <r>
      <rPr>
        <b/>
        <sz val="12"/>
        <color indexed="8"/>
        <rFont val="Arial"/>
        <family val="2"/>
      </rPr>
      <t>mėnesio šilumos kainai</t>
    </r>
  </si>
  <si>
    <t>Kuras</t>
  </si>
  <si>
    <t>Vidutinė</t>
  </si>
  <si>
    <t>Faktinė</t>
  </si>
  <si>
    <t>Kuro kaina</t>
  </si>
  <si>
    <t>bazinėje kainoje</t>
  </si>
  <si>
    <t>šalies kuro</t>
  </si>
  <si>
    <t>žaliavos</t>
  </si>
  <si>
    <t>faktinis</t>
  </si>
  <si>
    <t>transp. ir kt.</t>
  </si>
  <si>
    <t>transportavimo</t>
  </si>
  <si>
    <t>šilumos kainai</t>
  </si>
  <si>
    <t>struktūra</t>
  </si>
  <si>
    <t>kaina</t>
  </si>
  <si>
    <t>skaičiuoti</t>
  </si>
  <si>
    <t>%</t>
  </si>
  <si>
    <t>Iš viso</t>
  </si>
  <si>
    <t>UŽDAROJI AKCINĖ BENDROVĖ „ANYKŠČIŲ ŠILUMA“</t>
  </si>
  <si>
    <t>Įmonės kodas 1541 12751,  Vairuotojų g.11, 29107, Anykščiai</t>
  </si>
  <si>
    <t>Akmens anglis</t>
  </si>
  <si>
    <t>pjuvenos</t>
  </si>
  <si>
    <t>malkos</t>
  </si>
  <si>
    <t>vidutinis tankis</t>
  </si>
  <si>
    <t>kg/ktm</t>
  </si>
  <si>
    <t>t</t>
  </si>
  <si>
    <t>sąnaudos iš viso</t>
  </si>
  <si>
    <t>UŽDAROJI AKCINĖ BENDROVĖ „ANYKŠČIŲ ŠILUMAI“</t>
  </si>
  <si>
    <t>Įmonės kodas 1541 12751, Vairuotojų g.11, 29107, Anykščiai</t>
  </si>
  <si>
    <t>Birželio mėnesį  pirktas kuras</t>
  </si>
  <si>
    <r>
      <t>akmens anglies</t>
    </r>
    <r>
      <rPr>
        <sz val="8"/>
        <color indexed="8"/>
        <rFont val="Arial"/>
        <family val="2"/>
      </rPr>
      <t xml:space="preserve"> kiekis </t>
    </r>
  </si>
  <si>
    <t>sąnaudos už akmens anglį</t>
  </si>
  <si>
    <t>akmens anglies kaina</t>
  </si>
  <si>
    <t>Liepos mėnesį  pirktas kuras</t>
  </si>
  <si>
    <t xml:space="preserve">                    ŠILUMOS KAINOS SKAIČIAVIMAS  2013 METŲ RUGSĖJO  MĖNESIUI </t>
  </si>
  <si>
    <t xml:space="preserve">                  KARŠTO VANDENS KAINOS SKAIČIAVIMAS  2013 METŲ RUGSĖJO MĖNESIUI</t>
  </si>
  <si>
    <t xml:space="preserve">                  KARŠTO VANDENS KAINOS SKAIČIAVIMAS  2013 METŲ SPALIO MĖNESIUI</t>
  </si>
  <si>
    <t xml:space="preserve">                    ŠILUMOS KAINOS SKAIČIAVIMAS  2013 METŲ SPALIO   MĖNESIUI </t>
  </si>
  <si>
    <t>Rugpjūčio  mėnesį  pirktas kuras</t>
  </si>
  <si>
    <t>Laikinai einanatis direktoriaus pareigas</t>
  </si>
  <si>
    <t>Gintaras Strolia</t>
  </si>
  <si>
    <t>Anykščių rajono savivaldybės tarybos 2013-03-28 sprendimas Nr. 1 - TS - 114, VKEKK 2013-04-15 nutarimas Nr. O3-124.</t>
  </si>
  <si>
    <t>VKEKK 2013-02-28 nutarimas Nr.O3 - 61</t>
  </si>
  <si>
    <t>Rugsėjo  mėnesį  pirktas kuras</t>
  </si>
  <si>
    <t xml:space="preserve">                    ŠILUMOS KAINOS SKAIČIAVIMAS  2013 METŲ lapkričio  MĖNESIUI </t>
  </si>
  <si>
    <t>Laikinai einantis direktoriaus pareigas</t>
  </si>
  <si>
    <t xml:space="preserve">                  KARŠTO VANDENS KAINOS SKAIČIAVIMAS  2013 METŲ  lapkričio  MĖNESIUI</t>
  </si>
  <si>
    <t xml:space="preserve">                  KARŠTO VANDENS KAINOS SKAIČIAVIMAS  2013 METŲ  gruodžio  MĖNESIUI</t>
  </si>
  <si>
    <t xml:space="preserve">                    ŠILUMOS KAINOS SKAIČIAVIMAS  2013 METŲ  gruodžio MĖNESIUI </t>
  </si>
  <si>
    <t>Spalio   mėnesį  pirktas kuras</t>
  </si>
  <si>
    <t>Medienos granulės</t>
  </si>
  <si>
    <t>Medienos granulių kiekis</t>
  </si>
  <si>
    <t>sąnaudos už medienos granulės</t>
  </si>
  <si>
    <t>KARŠTO VANDENS KAINOS DEDAMOSIOS KITIEMS VARTOTOJAMS</t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</si>
  <si>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</si>
  <si>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I.</t>
  </si>
  <si>
    <t>II.</t>
  </si>
  <si>
    <t>Papildoma informacija:</t>
  </si>
  <si>
    <r>
      <t>Pildant spalio mėnesio biokuro suvestinės formą (regula.lt)   biokuro kaina (bendra) buvo 2</t>
    </r>
    <r>
      <rPr>
        <b/>
        <i/>
        <sz val="10"/>
        <color indexed="8"/>
        <rFont val="Calibri"/>
        <family val="2"/>
      </rPr>
      <t>99,59  Lt/ t ne , gauta neįvertinus centų.</t>
    </r>
  </si>
  <si>
    <t>Pildant 34 priedą, įvertinus visas išlaidas biokurui įsigyti, bendra biokuro kaina - 299,62 Lt/ t ne, kuri ir taikoma nustatant gruodžio mėnesio mėnesio šilumos kainą.</t>
  </si>
  <si>
    <t>KARŠTO VANDENS KAINOS DEDAMOSIOS  DAUGIABUČIUOSE NAMUOSE</t>
  </si>
  <si>
    <t>Lapkričio   mėnesį  pirktas kuras</t>
  </si>
  <si>
    <t xml:space="preserve">                    ŠILUMOS KAINOS SKAIČIAVIMAS  2014 METŲ   sausio   MĖNESIUI </t>
  </si>
  <si>
    <t xml:space="preserve">                  KARŠTO VANDENS KAINOS SKAIČIAVIMAS  2014 METŲ  sausio   MĖNESIUI</t>
  </si>
  <si>
    <t>Verkių g.25 c. Vilnius, rastine@regula.lt, faksas (8 5)213 5270</t>
  </si>
  <si>
    <t xml:space="preserve">                  KARŠTO VANDENS KAINOS SKAIČIAVIMAS  2014 METŲ  vasario  MĖNESIUI</t>
  </si>
  <si>
    <t xml:space="preserve">                    ŠILUMOS KAINOS SKAIČIAVIMAS  2014 METŲ   vasario   MĖNESIUI </t>
  </si>
  <si>
    <t>Medienos granulių kaina</t>
  </si>
  <si>
    <t>Gruodžio   mėnesį  pirktas kuras</t>
  </si>
  <si>
    <t>Medienos kilmės biokuras (Pjuvenos)</t>
  </si>
  <si>
    <t xml:space="preserve">Mediena   </t>
  </si>
  <si>
    <t>APSKAIČIUOTA ŠILUMOS VIENANARĖ KAINA (1.1.+2.1.+3.1.+4.1.+4.2.)</t>
  </si>
  <si>
    <t xml:space="preserve">                    ŠILUMOS KAINOS SKAIČIAVIMAS  2014 METŲ   kovo   MĖNESIUI </t>
  </si>
  <si>
    <t>2014 metų sausio    mėnesį  pirktas kuras</t>
  </si>
  <si>
    <t xml:space="preserve">                  KARŠTO VANDENS KAINOS SKAIČIAVIMAS  2014 METŲ  kovo   MĖNESIUI</t>
  </si>
  <si>
    <t xml:space="preserve">                    ŠILUMOS KAINOS SKAIČIAVIMAS  2014 METŲ   balandžio MĖNESIUI </t>
  </si>
  <si>
    <t>2014 metų vasario   mėnesį  pirktas kuras</t>
  </si>
  <si>
    <t xml:space="preserve">                  KARŠTO VANDENS KAINOS SKAIČIAVIMAS  2014 METŲ  balandžio   MĖNESIUI</t>
  </si>
  <si>
    <t>VKEKK 2014-02-14 nutarimas Nr.O3 - 50</t>
  </si>
  <si>
    <r>
      <t>(52,69*T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)+(1,03*T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</si>
  <si>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</si>
  <si>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2014 METŲ   gegužės MĖNESIUI 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</si>
  <si>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0,29+(4325,0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</si>
  <si>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r>
      <t>T</t>
    </r>
    <r>
      <rPr>
        <vertAlign val="subscript"/>
        <sz val="12"/>
        <color indexed="8"/>
        <rFont val="Times New Roman"/>
        <family val="1"/>
      </rPr>
      <t>pr kd = 0,41 + 7,24 x Tpt / 37,6</t>
    </r>
  </si>
  <si>
    <t xml:space="preserve">                  KARŠTO VANDENS KAINOS SKAIČIAVIMAS  2014 METŲ  gegužės  MĖNESIUI</t>
  </si>
  <si>
    <t>Tarybos 2013-01-30 sprendimas Nr. 1 - TS - 28, 2014-03-27  Nr.1-TS-146,  VKEKK 2013-04-15 nutarimas Nr. O3-124, Nr. O3-107</t>
  </si>
  <si>
    <t xml:space="preserve">                    ŠILUMOS KAINOS SKAIČIAVIMAS  2014 METŲ   birželio   MĖNESIUI </t>
  </si>
  <si>
    <t xml:space="preserve">                  KARŠTO VANDENS KAINOS SKAIČIAVIMAS  2014 METŲ birželio   MĖNESIUI</t>
  </si>
  <si>
    <t xml:space="preserve">                  KARŠTO VANDENS KAINOS SKAIČIAVIMAS  2014 METŲ liepos    MĖNESIUI</t>
  </si>
  <si>
    <t xml:space="preserve">                    ŠILUMOS KAINOS SKAIČIAVIMAS  2014 METŲ   liepos   MĖNESIUI </t>
  </si>
  <si>
    <t xml:space="preserve">                    ŠILUMOS KAINOS SKAIČIAVIMAS  2014 METŲ   rugpjūčio    MĖNESIUI </t>
  </si>
  <si>
    <t xml:space="preserve">                  KARŠTO VANDENS KAINOS SKAIČIAVIMAS  2014 METŲ rugpjūčio   MĖNESIUI</t>
  </si>
  <si>
    <r>
      <t xml:space="preserve">VKEKK 2014-02-14 nutarimas Nr.O3 - 50, </t>
    </r>
    <r>
      <rPr>
        <b/>
        <i/>
        <sz val="11"/>
        <color indexed="60"/>
        <rFont val="Calibri"/>
        <family val="2"/>
      </rPr>
      <t>savivaldybės 2014-06-26 sprendimas Nr.1-TS-229</t>
    </r>
  </si>
  <si>
    <t xml:space="preserve">                    ŠILUMOS KAINOS SKAIČIAVIMAS  2014 METŲ   rugsėjo    MĖNESIUI </t>
  </si>
  <si>
    <t xml:space="preserve">                  KARŠTO VANDENS KAINOS SKAIČIAVIMAS  2014 METŲ rugsėjo    MĖNESIUI</t>
  </si>
  <si>
    <t>Pastaba:gamtinių dujų duomenys sistemoje "Regula" buvo apvalinami, todėl pridedama PVM - sąskaita faktūra už 2014 metų liepos mėnesį, kurie yra patikslinti</t>
  </si>
  <si>
    <t>euro ct/kWh</t>
  </si>
  <si>
    <r>
      <t>Euro/m</t>
    </r>
    <r>
      <rPr>
        <vertAlign val="superscript"/>
        <sz val="8"/>
        <color indexed="30"/>
        <rFont val="Times New Roman"/>
        <family val="1"/>
      </rPr>
      <t>3</t>
    </r>
  </si>
  <si>
    <t xml:space="preserve">                    ŠILUMOS KAINOS SKAIČIAVIMAS  2014 METŲ  spalio  MĖNESIUI </t>
  </si>
  <si>
    <t xml:space="preserve">                  KARŠTO VANDENS KAINOS SKAIČIAVIMAS  2014 METŲ spalio    MĖNESIUI</t>
  </si>
  <si>
    <t xml:space="preserve"> </t>
  </si>
  <si>
    <t xml:space="preserve">                    ŠILUMOS KAINOS SKAIČIAVIMAS  2014 METŲ  lapkričio   MĖNESIUI </t>
  </si>
  <si>
    <t>Violeta Labutienė</t>
  </si>
  <si>
    <t>el. paštas: violeta@anyksciusiluma.lt</t>
  </si>
  <si>
    <t>šilumos pardavimo kaina kitiems vartotojams</t>
  </si>
  <si>
    <t>el. paštas violeta@anyksciusiluma.lt</t>
  </si>
  <si>
    <t xml:space="preserve">                  KARŠTO VANDENS KAINOS SKAIČIAVIMAS  2014 METŲ lapkričio  MĖNESIUI</t>
  </si>
  <si>
    <t xml:space="preserve">                    ŠILUMOS KAINOS SKAIČIAVIMAS  2014 METŲ  gruodžio  MĖNESIUI </t>
  </si>
  <si>
    <t xml:space="preserve">                  KARŠTO VANDENS KAINOS SKAIČIAVIMAS  2014 METŲ gruodžio   MĖNESIUI</t>
  </si>
  <si>
    <t>2014.11.18.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</si>
</sst>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&quot;Taip&quot;;&quot;Taip&quot;;&quot;Ne&quot;"/>
    <numFmt numFmtId="166" formatCode="&quot;Teisinga&quot;;&quot;Teisinga&quot;;&quot;Klaidinga&quot;"/>
    <numFmt numFmtId="167" formatCode="[$€-2]\ ###,000_);[Red]\([$€-2]\ ###,000\)"/>
    <numFmt numFmtId="168" formatCode="0.0"/>
    <numFmt numFmtId="169" formatCode="0.0%"/>
    <numFmt numFmtId="170" formatCode="0.00000"/>
    <numFmt numFmtId="171" formatCode="0.0000"/>
    <numFmt numFmtId="172" formatCode="0.000000"/>
    <numFmt numFmtId="173" formatCode="0.000000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Calibri"/>
      <family val="2"/>
    </font>
    <font>
      <vertAlign val="subscript"/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53"/>
      <name val="Times New Roman"/>
      <family val="1"/>
    </font>
    <font>
      <vertAlign val="superscript"/>
      <sz val="8"/>
      <color indexed="53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0"/>
      <color indexed="8"/>
      <name val="Calibri"/>
      <family val="2"/>
    </font>
    <font>
      <b/>
      <i/>
      <sz val="11"/>
      <color indexed="60"/>
      <name val="Calibri"/>
      <family val="2"/>
    </font>
    <font>
      <sz val="9"/>
      <color indexed="8"/>
      <name val="Times New Roman"/>
      <family val="1"/>
    </font>
    <font>
      <vertAlign val="superscript"/>
      <sz val="8"/>
      <color indexed="3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6"/>
      <color indexed="8"/>
      <name val="Times New Roman"/>
      <family val="1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30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30"/>
      <name val="Calibri"/>
      <family val="2"/>
    </font>
    <font>
      <sz val="8"/>
      <color indexed="30"/>
      <name val="Times New Roman"/>
      <family val="1"/>
    </font>
    <font>
      <b/>
      <sz val="11"/>
      <color indexed="30"/>
      <name val="Calibri"/>
      <family val="2"/>
    </font>
    <font>
      <sz val="8"/>
      <color indexed="30"/>
      <name val="Calibri"/>
      <family val="2"/>
    </font>
    <font>
      <b/>
      <sz val="8"/>
      <color indexed="3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9" tint="-0.24997000396251678"/>
      <name val="Times New Roman"/>
      <family val="1"/>
    </font>
    <font>
      <sz val="8"/>
      <color theme="9" tint="-0.24997000396251678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70C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0070C0"/>
      <name val="Calibri"/>
      <family val="2"/>
    </font>
    <font>
      <sz val="8"/>
      <color rgb="FF0070C0"/>
      <name val="Times New Roman"/>
      <family val="1"/>
    </font>
    <font>
      <b/>
      <sz val="11"/>
      <color rgb="FF0070C0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>
        <color indexed="63"/>
      </bottom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rgb="FF000000"/>
      </top>
      <bottom style="medium"/>
    </border>
    <border>
      <left/>
      <right/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2" borderId="4" applyNumberFormat="0" applyAlignment="0" applyProtection="0"/>
    <xf numFmtId="0" fontId="77" fillId="0" borderId="0" applyNumberFormat="0" applyFill="0" applyBorder="0" applyAlignment="0" applyProtection="0"/>
    <xf numFmtId="0" fontId="7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4" borderId="0" applyNumberFormat="0" applyBorder="0" applyAlignment="0" applyProtection="0"/>
    <xf numFmtId="0" fontId="10" fillId="0" borderId="0">
      <alignment/>
      <protection/>
    </xf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0" fillId="31" borderId="6" applyNumberFormat="0" applyFont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22" borderId="5" applyNumberForma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6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88" fillId="0" borderId="0" xfId="0" applyFont="1" applyAlignment="1">
      <alignment/>
    </xf>
    <xf numFmtId="2" fontId="89" fillId="0" borderId="11" xfId="47" applyNumberFormat="1" applyFont="1" applyFill="1" applyBorder="1" applyAlignment="1">
      <alignment horizontal="center"/>
      <protection/>
    </xf>
    <xf numFmtId="2" fontId="90" fillId="0" borderId="11" xfId="47" applyNumberFormat="1" applyFont="1" applyFill="1" applyBorder="1" applyAlignment="1">
      <alignment horizontal="center"/>
      <protection/>
    </xf>
    <xf numFmtId="0" fontId="85" fillId="5" borderId="0" xfId="0" applyFont="1" applyFill="1" applyAlignment="1">
      <alignment/>
    </xf>
    <xf numFmtId="0" fontId="0" fillId="5" borderId="0" xfId="0" applyFill="1" applyAlignment="1">
      <alignment/>
    </xf>
    <xf numFmtId="0" fontId="8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left" indent="1"/>
    </xf>
    <xf numFmtId="0" fontId="15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85" fillId="0" borderId="0" xfId="0" applyFont="1" applyBorder="1" applyAlignment="1">
      <alignment/>
    </xf>
    <xf numFmtId="0" fontId="85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indent="1"/>
    </xf>
    <xf numFmtId="0" fontId="85" fillId="0" borderId="12" xfId="0" applyFont="1" applyBorder="1" applyAlignment="1">
      <alignment/>
    </xf>
    <xf numFmtId="0" fontId="85" fillId="0" borderId="12" xfId="0" applyFont="1" applyBorder="1" applyAlignment="1">
      <alignment horizontal="center"/>
    </xf>
    <xf numFmtId="0" fontId="86" fillId="0" borderId="18" xfId="0" applyFont="1" applyBorder="1" applyAlignment="1">
      <alignment/>
    </xf>
    <xf numFmtId="0" fontId="86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20" xfId="0" applyFont="1" applyBorder="1" applyAlignment="1">
      <alignment horizontal="center"/>
    </xf>
    <xf numFmtId="0" fontId="91" fillId="0" borderId="18" xfId="0" applyFont="1" applyBorder="1" applyAlignment="1">
      <alignment/>
    </xf>
    <xf numFmtId="0" fontId="87" fillId="0" borderId="18" xfId="0" applyFont="1" applyBorder="1" applyAlignment="1">
      <alignment/>
    </xf>
    <xf numFmtId="0" fontId="85" fillId="0" borderId="11" xfId="0" applyFont="1" applyBorder="1" applyAlignment="1">
      <alignment/>
    </xf>
    <xf numFmtId="2" fontId="90" fillId="0" borderId="21" xfId="47" applyNumberFormat="1" applyFont="1" applyFill="1" applyBorder="1" applyAlignment="1">
      <alignment horizontal="center"/>
      <protection/>
    </xf>
    <xf numFmtId="0" fontId="85" fillId="0" borderId="18" xfId="0" applyFont="1" applyBorder="1" applyAlignment="1">
      <alignment/>
    </xf>
    <xf numFmtId="0" fontId="86" fillId="0" borderId="12" xfId="0" applyFont="1" applyBorder="1" applyAlignment="1">
      <alignment horizontal="center"/>
    </xf>
    <xf numFmtId="0" fontId="85" fillId="0" borderId="12" xfId="0" applyFont="1" applyBorder="1" applyAlignment="1">
      <alignment horizontal="center" vertical="center"/>
    </xf>
    <xf numFmtId="0" fontId="85" fillId="6" borderId="12" xfId="0" applyFont="1" applyFill="1" applyBorder="1" applyAlignment="1">
      <alignment horizontal="center"/>
    </xf>
    <xf numFmtId="0" fontId="85" fillId="4" borderId="12" xfId="0" applyFont="1" applyFill="1" applyBorder="1" applyAlignment="1">
      <alignment horizontal="center"/>
    </xf>
    <xf numFmtId="0" fontId="85" fillId="0" borderId="14" xfId="0" applyFont="1" applyBorder="1" applyAlignment="1">
      <alignment/>
    </xf>
    <xf numFmtId="2" fontId="90" fillId="0" borderId="22" xfId="47" applyNumberFormat="1" applyFont="1" applyFill="1" applyBorder="1" applyAlignment="1">
      <alignment horizontal="center"/>
      <protection/>
    </xf>
    <xf numFmtId="2" fontId="89" fillId="0" borderId="21" xfId="47" applyNumberFormat="1" applyFont="1" applyFill="1" applyBorder="1" applyAlignment="1">
      <alignment horizontal="center"/>
      <protection/>
    </xf>
    <xf numFmtId="0" fontId="85" fillId="6" borderId="20" xfId="0" applyFont="1" applyFill="1" applyBorder="1" applyAlignment="1">
      <alignment horizontal="center"/>
    </xf>
    <xf numFmtId="0" fontId="85" fillId="6" borderId="18" xfId="0" applyFont="1" applyFill="1" applyBorder="1" applyAlignment="1">
      <alignment/>
    </xf>
    <xf numFmtId="0" fontId="85" fillId="6" borderId="11" xfId="0" applyFont="1" applyFill="1" applyBorder="1" applyAlignment="1">
      <alignment/>
    </xf>
    <xf numFmtId="2" fontId="89" fillId="0" borderId="22" xfId="47" applyNumberFormat="1" applyFont="1" applyFill="1" applyBorder="1" applyAlignment="1">
      <alignment horizontal="center"/>
      <protection/>
    </xf>
    <xf numFmtId="0" fontId="85" fillId="0" borderId="23" xfId="0" applyFont="1" applyBorder="1" applyAlignment="1">
      <alignment/>
    </xf>
    <xf numFmtId="0" fontId="85" fillId="4" borderId="20" xfId="0" applyFont="1" applyFill="1" applyBorder="1" applyAlignment="1">
      <alignment horizontal="center"/>
    </xf>
    <xf numFmtId="0" fontId="85" fillId="4" borderId="18" xfId="0" applyFont="1" applyFill="1" applyBorder="1" applyAlignment="1">
      <alignment/>
    </xf>
    <xf numFmtId="0" fontId="85" fillId="4" borderId="11" xfId="0" applyFont="1" applyFill="1" applyBorder="1" applyAlignment="1">
      <alignment/>
    </xf>
    <xf numFmtId="0" fontId="85" fillId="3" borderId="12" xfId="0" applyFont="1" applyFill="1" applyBorder="1" applyAlignment="1">
      <alignment horizontal="center"/>
    </xf>
    <xf numFmtId="0" fontId="85" fillId="3" borderId="18" xfId="0" applyFont="1" applyFill="1" applyBorder="1" applyAlignment="1">
      <alignment horizontal="center"/>
    </xf>
    <xf numFmtId="0" fontId="85" fillId="3" borderId="18" xfId="0" applyFont="1" applyFill="1" applyBorder="1" applyAlignment="1">
      <alignment/>
    </xf>
    <xf numFmtId="0" fontId="85" fillId="3" borderId="11" xfId="0" applyFont="1" applyFill="1" applyBorder="1" applyAlignment="1">
      <alignment/>
    </xf>
    <xf numFmtId="0" fontId="85" fillId="5" borderId="12" xfId="0" applyFont="1" applyFill="1" applyBorder="1" applyAlignment="1">
      <alignment/>
    </xf>
    <xf numFmtId="0" fontId="85" fillId="5" borderId="20" xfId="0" applyFont="1" applyFill="1" applyBorder="1" applyAlignment="1">
      <alignment horizontal="center"/>
    </xf>
    <xf numFmtId="0" fontId="85" fillId="5" borderId="18" xfId="0" applyFont="1" applyFill="1" applyBorder="1" applyAlignment="1">
      <alignment/>
    </xf>
    <xf numFmtId="0" fontId="85" fillId="5" borderId="1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20" xfId="0" applyFont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92" fillId="0" borderId="25" xfId="0" applyFont="1" applyBorder="1" applyAlignment="1">
      <alignment horizontal="center"/>
    </xf>
    <xf numFmtId="0" fontId="93" fillId="0" borderId="25" xfId="0" applyFont="1" applyBorder="1" applyAlignment="1">
      <alignment/>
    </xf>
    <xf numFmtId="0" fontId="92" fillId="0" borderId="25" xfId="0" applyFont="1" applyBorder="1" applyAlignment="1">
      <alignment/>
    </xf>
    <xf numFmtId="0" fontId="92" fillId="0" borderId="12" xfId="0" applyFont="1" applyBorder="1" applyAlignment="1">
      <alignment/>
    </xf>
    <xf numFmtId="0" fontId="92" fillId="0" borderId="26" xfId="0" applyFont="1" applyBorder="1" applyAlignment="1">
      <alignment horizontal="center"/>
    </xf>
    <xf numFmtId="0" fontId="0" fillId="0" borderId="12" xfId="0" applyBorder="1" applyAlignment="1">
      <alignment/>
    </xf>
    <xf numFmtId="0" fontId="92" fillId="0" borderId="27" xfId="0" applyFont="1" applyBorder="1" applyAlignment="1">
      <alignment horizontal="center"/>
    </xf>
    <xf numFmtId="0" fontId="92" fillId="0" borderId="28" xfId="0" applyFont="1" applyBorder="1" applyAlignment="1">
      <alignment horizontal="center"/>
    </xf>
    <xf numFmtId="0" fontId="93" fillId="0" borderId="12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94" fillId="0" borderId="29" xfId="0" applyFont="1" applyBorder="1" applyAlignment="1">
      <alignment horizontal="center"/>
    </xf>
    <xf numFmtId="0" fontId="94" fillId="0" borderId="30" xfId="0" applyFont="1" applyBorder="1" applyAlignment="1">
      <alignment horizontal="center"/>
    </xf>
    <xf numFmtId="0" fontId="93" fillId="0" borderId="26" xfId="0" applyFont="1" applyBorder="1" applyAlignment="1">
      <alignment/>
    </xf>
    <xf numFmtId="0" fontId="94" fillId="0" borderId="25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25" xfId="0" applyFont="1" applyBorder="1" applyAlignment="1">
      <alignment/>
    </xf>
    <xf numFmtId="0" fontId="94" fillId="0" borderId="31" xfId="0" applyFont="1" applyBorder="1" applyAlignment="1">
      <alignment horizontal="center"/>
    </xf>
    <xf numFmtId="0" fontId="94" fillId="0" borderId="12" xfId="0" applyFont="1" applyFill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96" fillId="0" borderId="32" xfId="0" applyFont="1" applyBorder="1" applyAlignment="1">
      <alignment horizontal="center"/>
    </xf>
    <xf numFmtId="0" fontId="97" fillId="0" borderId="29" xfId="0" applyFont="1" applyBorder="1" applyAlignment="1">
      <alignment/>
    </xf>
    <xf numFmtId="0" fontId="0" fillId="0" borderId="25" xfId="0" applyBorder="1" applyAlignment="1">
      <alignment/>
    </xf>
    <xf numFmtId="0" fontId="98" fillId="0" borderId="33" xfId="0" applyFont="1" applyBorder="1" applyAlignment="1">
      <alignment horizontal="center"/>
    </xf>
    <xf numFmtId="2" fontId="98" fillId="0" borderId="34" xfId="0" applyNumberFormat="1" applyFont="1" applyBorder="1" applyAlignment="1">
      <alignment horizontal="center"/>
    </xf>
    <xf numFmtId="0" fontId="99" fillId="0" borderId="29" xfId="0" applyFont="1" applyBorder="1" applyAlignment="1">
      <alignment/>
    </xf>
    <xf numFmtId="0" fontId="96" fillId="0" borderId="33" xfId="0" applyFont="1" applyBorder="1" applyAlignment="1">
      <alignment horizontal="center"/>
    </xf>
    <xf numFmtId="164" fontId="96" fillId="0" borderId="34" xfId="0" applyNumberFormat="1" applyFont="1" applyBorder="1" applyAlignment="1">
      <alignment horizontal="right"/>
    </xf>
    <xf numFmtId="0" fontId="96" fillId="0" borderId="29" xfId="0" applyFont="1" applyBorder="1" applyAlignment="1">
      <alignment/>
    </xf>
    <xf numFmtId="1" fontId="96" fillId="0" borderId="34" xfId="0" applyNumberFormat="1" applyFont="1" applyBorder="1" applyAlignment="1">
      <alignment horizontal="right"/>
    </xf>
    <xf numFmtId="0" fontId="98" fillId="33" borderId="29" xfId="0" applyFont="1" applyFill="1" applyBorder="1" applyAlignment="1">
      <alignment/>
    </xf>
    <xf numFmtId="0" fontId="0" fillId="33" borderId="25" xfId="0" applyFill="1" applyBorder="1" applyAlignment="1">
      <alignment/>
    </xf>
    <xf numFmtId="0" fontId="98" fillId="33" borderId="33" xfId="0" applyFont="1" applyFill="1" applyBorder="1" applyAlignment="1">
      <alignment horizontal="center"/>
    </xf>
    <xf numFmtId="2" fontId="97" fillId="33" borderId="34" xfId="0" applyNumberFormat="1" applyFont="1" applyFill="1" applyBorder="1" applyAlignment="1">
      <alignment horizontal="center"/>
    </xf>
    <xf numFmtId="0" fontId="98" fillId="0" borderId="25" xfId="0" applyFont="1" applyBorder="1" applyAlignment="1">
      <alignment/>
    </xf>
    <xf numFmtId="2" fontId="96" fillId="0" borderId="34" xfId="0" applyNumberFormat="1" applyFont="1" applyBorder="1" applyAlignment="1">
      <alignment horizontal="center"/>
    </xf>
    <xf numFmtId="0" fontId="96" fillId="0" borderId="31" xfId="0" applyFont="1" applyBorder="1" applyAlignment="1">
      <alignment/>
    </xf>
    <xf numFmtId="0" fontId="98" fillId="0" borderId="26" xfId="0" applyFont="1" applyBorder="1" applyAlignment="1">
      <alignment/>
    </xf>
    <xf numFmtId="0" fontId="96" fillId="0" borderId="26" xfId="0" applyFont="1" applyBorder="1" applyAlignment="1">
      <alignment/>
    </xf>
    <xf numFmtId="2" fontId="96" fillId="0" borderId="35" xfId="0" applyNumberFormat="1" applyFont="1" applyBorder="1" applyAlignment="1">
      <alignment horizontal="center"/>
    </xf>
    <xf numFmtId="0" fontId="96" fillId="0" borderId="25" xfId="0" applyFont="1" applyBorder="1" applyAlignment="1">
      <alignment/>
    </xf>
    <xf numFmtId="2" fontId="96" fillId="0" borderId="33" xfId="0" applyNumberFormat="1" applyFont="1" applyBorder="1" applyAlignment="1">
      <alignment/>
    </xf>
    <xf numFmtId="164" fontId="96" fillId="0" borderId="33" xfId="0" applyNumberFormat="1" applyFont="1" applyBorder="1" applyAlignment="1">
      <alignment/>
    </xf>
    <xf numFmtId="0" fontId="99" fillId="0" borderId="25" xfId="0" applyFont="1" applyBorder="1" applyAlignment="1">
      <alignment/>
    </xf>
    <xf numFmtId="1" fontId="96" fillId="0" borderId="33" xfId="0" applyNumberFormat="1" applyFont="1" applyBorder="1" applyAlignment="1">
      <alignment/>
    </xf>
    <xf numFmtId="0" fontId="98" fillId="0" borderId="29" xfId="0" applyFont="1" applyBorder="1" applyAlignment="1">
      <alignment/>
    </xf>
    <xf numFmtId="2" fontId="98" fillId="0" borderId="33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96" fillId="0" borderId="33" xfId="0" applyFont="1" applyBorder="1" applyAlignment="1">
      <alignment/>
    </xf>
    <xf numFmtId="2" fontId="96" fillId="0" borderId="33" xfId="0" applyNumberFormat="1" applyFont="1" applyBorder="1" applyAlignment="1">
      <alignment horizontal="center"/>
    </xf>
    <xf numFmtId="2" fontId="97" fillId="0" borderId="34" xfId="0" applyNumberFormat="1" applyFont="1" applyBorder="1" applyAlignment="1">
      <alignment horizontal="center"/>
    </xf>
    <xf numFmtId="0" fontId="97" fillId="34" borderId="29" xfId="0" applyFont="1" applyFill="1" applyBorder="1" applyAlignment="1">
      <alignment/>
    </xf>
    <xf numFmtId="0" fontId="98" fillId="34" borderId="25" xfId="0" applyFont="1" applyFill="1" applyBorder="1" applyAlignment="1">
      <alignment/>
    </xf>
    <xf numFmtId="0" fontId="98" fillId="34" borderId="33" xfId="0" applyFont="1" applyFill="1" applyBorder="1" applyAlignment="1">
      <alignment horizontal="center"/>
    </xf>
    <xf numFmtId="2" fontId="97" fillId="34" borderId="34" xfId="0" applyNumberFormat="1" applyFont="1" applyFill="1" applyBorder="1" applyAlignment="1">
      <alignment horizontal="center"/>
    </xf>
    <xf numFmtId="0" fontId="100" fillId="0" borderId="33" xfId="0" applyFont="1" applyBorder="1" applyAlignment="1">
      <alignment horizontal="center"/>
    </xf>
    <xf numFmtId="0" fontId="96" fillId="0" borderId="34" xfId="0" applyFont="1" applyBorder="1" applyAlignment="1">
      <alignment/>
    </xf>
    <xf numFmtId="164" fontId="96" fillId="0" borderId="34" xfId="0" applyNumberFormat="1" applyFont="1" applyBorder="1" applyAlignment="1">
      <alignment/>
    </xf>
    <xf numFmtId="0" fontId="98" fillId="35" borderId="29" xfId="0" applyFont="1" applyFill="1" applyBorder="1" applyAlignment="1">
      <alignment/>
    </xf>
    <xf numFmtId="0" fontId="97" fillId="35" borderId="25" xfId="0" applyFont="1" applyFill="1" applyBorder="1" applyAlignment="1">
      <alignment/>
    </xf>
    <xf numFmtId="0" fontId="98" fillId="35" borderId="33" xfId="0" applyFont="1" applyFill="1" applyBorder="1" applyAlignment="1">
      <alignment horizontal="center"/>
    </xf>
    <xf numFmtId="2" fontId="97" fillId="35" borderId="34" xfId="0" applyNumberFormat="1" applyFont="1" applyFill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82" fillId="0" borderId="12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02" fillId="0" borderId="0" xfId="0" applyFont="1" applyAlignment="1">
      <alignment/>
    </xf>
    <xf numFmtId="0" fontId="86" fillId="0" borderId="12" xfId="0" applyFont="1" applyBorder="1" applyAlignment="1">
      <alignment/>
    </xf>
    <xf numFmtId="2" fontId="22" fillId="0" borderId="19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 horizontal="center"/>
    </xf>
    <xf numFmtId="0" fontId="104" fillId="0" borderId="14" xfId="0" applyFont="1" applyBorder="1" applyAlignment="1">
      <alignment/>
    </xf>
    <xf numFmtId="0" fontId="104" fillId="0" borderId="12" xfId="0" applyFont="1" applyBorder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103" fillId="0" borderId="0" xfId="0" applyFont="1" applyAlignment="1">
      <alignment/>
    </xf>
    <xf numFmtId="14" fontId="0" fillId="0" borderId="0" xfId="0" applyNumberFormat="1" applyAlignment="1">
      <alignment/>
    </xf>
    <xf numFmtId="0" fontId="93" fillId="0" borderId="29" xfId="0" applyFont="1" applyFill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6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85" fillId="0" borderId="12" xfId="0" applyFont="1" applyBorder="1" applyAlignment="1">
      <alignment horizontal="left" vertical="center"/>
    </xf>
    <xf numFmtId="14" fontId="104" fillId="0" borderId="0" xfId="0" applyNumberFormat="1" applyFont="1" applyAlignment="1">
      <alignment horizontal="center"/>
    </xf>
    <xf numFmtId="14" fontId="85" fillId="0" borderId="0" xfId="0" applyNumberFormat="1" applyFont="1" applyAlignment="1">
      <alignment horizontal="center"/>
    </xf>
    <xf numFmtId="0" fontId="75" fillId="0" borderId="0" xfId="40" applyAlignment="1" applyProtection="1">
      <alignment/>
      <protection/>
    </xf>
    <xf numFmtId="0" fontId="106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37" xfId="0" applyFont="1" applyBorder="1" applyAlignment="1">
      <alignment horizontal="center"/>
    </xf>
    <xf numFmtId="0" fontId="96" fillId="0" borderId="37" xfId="0" applyFont="1" applyBorder="1" applyAlignment="1">
      <alignment horizontal="center"/>
    </xf>
    <xf numFmtId="0" fontId="96" fillId="0" borderId="32" xfId="0" applyFont="1" applyBorder="1" applyAlignment="1">
      <alignment/>
    </xf>
    <xf numFmtId="0" fontId="100" fillId="0" borderId="37" xfId="0" applyFont="1" applyBorder="1" applyAlignment="1">
      <alignment horizontal="center"/>
    </xf>
    <xf numFmtId="0" fontId="97" fillId="0" borderId="25" xfId="0" applyFont="1" applyBorder="1" applyAlignment="1">
      <alignment/>
    </xf>
    <xf numFmtId="0" fontId="100" fillId="0" borderId="33" xfId="0" applyFont="1" applyBorder="1" applyAlignment="1">
      <alignment/>
    </xf>
    <xf numFmtId="0" fontId="99" fillId="0" borderId="33" xfId="0" applyFont="1" applyBorder="1" applyAlignment="1">
      <alignment/>
    </xf>
    <xf numFmtId="0" fontId="109" fillId="0" borderId="33" xfId="0" applyFont="1" applyBorder="1" applyAlignment="1">
      <alignment/>
    </xf>
    <xf numFmtId="0" fontId="100" fillId="0" borderId="25" xfId="0" applyFont="1" applyBorder="1" applyAlignment="1">
      <alignment/>
    </xf>
    <xf numFmtId="168" fontId="96" fillId="0" borderId="33" xfId="0" applyNumberFormat="1" applyFont="1" applyBorder="1" applyAlignment="1">
      <alignment horizontal="center"/>
    </xf>
    <xf numFmtId="2" fontId="110" fillId="0" borderId="33" xfId="0" applyNumberFormat="1" applyFont="1" applyFill="1" applyBorder="1" applyAlignment="1">
      <alignment horizontal="center"/>
    </xf>
    <xf numFmtId="2" fontId="100" fillId="0" borderId="33" xfId="0" applyNumberFormat="1" applyFont="1" applyFill="1" applyBorder="1" applyAlignment="1">
      <alignment horizontal="center"/>
    </xf>
    <xf numFmtId="2" fontId="110" fillId="0" borderId="33" xfId="0" applyNumberFormat="1" applyFont="1" applyBorder="1" applyAlignment="1">
      <alignment horizontal="center"/>
    </xf>
    <xf numFmtId="2" fontId="109" fillId="0" borderId="33" xfId="0" applyNumberFormat="1" applyFont="1" applyBorder="1" applyAlignment="1">
      <alignment horizontal="center"/>
    </xf>
    <xf numFmtId="2" fontId="100" fillId="0" borderId="33" xfId="0" applyNumberFormat="1" applyFont="1" applyBorder="1" applyAlignment="1">
      <alignment horizontal="center"/>
    </xf>
    <xf numFmtId="164" fontId="109" fillId="0" borderId="33" xfId="0" applyNumberFormat="1" applyFont="1" applyBorder="1" applyAlignment="1">
      <alignment horizontal="center"/>
    </xf>
    <xf numFmtId="0" fontId="98" fillId="0" borderId="33" xfId="0" applyFont="1" applyBorder="1" applyAlignment="1">
      <alignment/>
    </xf>
    <xf numFmtId="0" fontId="97" fillId="0" borderId="33" xfId="0" applyFont="1" applyBorder="1" applyAlignment="1">
      <alignment horizontal="center"/>
    </xf>
    <xf numFmtId="2" fontId="97" fillId="0" borderId="33" xfId="0" applyNumberFormat="1" applyFont="1" applyBorder="1" applyAlignment="1">
      <alignment horizontal="center"/>
    </xf>
    <xf numFmtId="164" fontId="110" fillId="0" borderId="33" xfId="0" applyNumberFormat="1" applyFont="1" applyBorder="1" applyAlignment="1">
      <alignment horizontal="center"/>
    </xf>
    <xf numFmtId="0" fontId="98" fillId="0" borderId="32" xfId="0" applyFont="1" applyBorder="1" applyAlignment="1">
      <alignment/>
    </xf>
    <xf numFmtId="0" fontId="97" fillId="0" borderId="32" xfId="0" applyFont="1" applyBorder="1" applyAlignment="1">
      <alignment horizontal="center"/>
    </xf>
    <xf numFmtId="2" fontId="97" fillId="0" borderId="32" xfId="0" applyNumberFormat="1" applyFont="1" applyBorder="1" applyAlignment="1">
      <alignment horizontal="center"/>
    </xf>
    <xf numFmtId="164" fontId="97" fillId="0" borderId="32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96" fillId="0" borderId="0" xfId="0" applyFont="1" applyAlignment="1">
      <alignment/>
    </xf>
    <xf numFmtId="0" fontId="110" fillId="0" borderId="25" xfId="0" applyFont="1" applyBorder="1" applyAlignment="1">
      <alignment horizontal="center"/>
    </xf>
    <xf numFmtId="0" fontId="110" fillId="0" borderId="26" xfId="0" applyFont="1" applyBorder="1" applyAlignment="1">
      <alignment horizontal="center"/>
    </xf>
    <xf numFmtId="0" fontId="109" fillId="0" borderId="0" xfId="0" applyFont="1" applyBorder="1" applyAlignment="1">
      <alignment/>
    </xf>
    <xf numFmtId="0" fontId="109" fillId="0" borderId="38" xfId="0" applyFont="1" applyBorder="1" applyAlignment="1">
      <alignment/>
    </xf>
    <xf numFmtId="0" fontId="109" fillId="0" borderId="39" xfId="0" applyFont="1" applyBorder="1" applyAlignment="1">
      <alignment/>
    </xf>
    <xf numFmtId="0" fontId="99" fillId="0" borderId="40" xfId="0" applyFont="1" applyBorder="1" applyAlignment="1">
      <alignment horizontal="center"/>
    </xf>
    <xf numFmtId="0" fontId="96" fillId="0" borderId="40" xfId="0" applyFont="1" applyBorder="1" applyAlignment="1">
      <alignment horizontal="center"/>
    </xf>
    <xf numFmtId="0" fontId="96" fillId="0" borderId="41" xfId="0" applyFont="1" applyBorder="1" applyAlignment="1">
      <alignment horizontal="center"/>
    </xf>
    <xf numFmtId="0" fontId="96" fillId="0" borderId="39" xfId="0" applyFont="1" applyBorder="1" applyAlignment="1">
      <alignment horizontal="center"/>
    </xf>
    <xf numFmtId="0" fontId="96" fillId="0" borderId="42" xfId="0" applyFont="1" applyBorder="1" applyAlignment="1">
      <alignment horizontal="center"/>
    </xf>
    <xf numFmtId="0" fontId="98" fillId="0" borderId="43" xfId="0" applyFont="1" applyBorder="1" applyAlignment="1">
      <alignment horizontal="center"/>
    </xf>
    <xf numFmtId="0" fontId="109" fillId="0" borderId="15" xfId="0" applyFont="1" applyBorder="1" applyAlignment="1">
      <alignment/>
    </xf>
    <xf numFmtId="0" fontId="98" fillId="0" borderId="44" xfId="0" applyFont="1" applyBorder="1" applyAlignment="1">
      <alignment horizontal="center"/>
    </xf>
    <xf numFmtId="0" fontId="97" fillId="0" borderId="45" xfId="0" applyFont="1" applyBorder="1" applyAlignment="1">
      <alignment/>
    </xf>
    <xf numFmtId="0" fontId="97" fillId="0" borderId="46" xfId="0" applyFont="1" applyBorder="1" applyAlignment="1">
      <alignment/>
    </xf>
    <xf numFmtId="0" fontId="96" fillId="0" borderId="45" xfId="0" applyFont="1" applyBorder="1" applyAlignment="1">
      <alignment/>
    </xf>
    <xf numFmtId="2" fontId="100" fillId="0" borderId="46" xfId="0" applyNumberFormat="1" applyFont="1" applyFill="1" applyBorder="1" applyAlignment="1">
      <alignment horizontal="center"/>
    </xf>
    <xf numFmtId="2" fontId="110" fillId="0" borderId="46" xfId="0" applyNumberFormat="1" applyFont="1" applyBorder="1" applyAlignment="1">
      <alignment horizontal="center"/>
    </xf>
    <xf numFmtId="2" fontId="100" fillId="0" borderId="46" xfId="0" applyNumberFormat="1" applyFont="1" applyBorder="1" applyAlignment="1">
      <alignment horizontal="center"/>
    </xf>
    <xf numFmtId="0" fontId="109" fillId="0" borderId="45" xfId="0" applyFont="1" applyBorder="1" applyAlignment="1">
      <alignment/>
    </xf>
    <xf numFmtId="2" fontId="97" fillId="0" borderId="46" xfId="0" applyNumberFormat="1" applyFont="1" applyBorder="1" applyAlignment="1">
      <alignment horizontal="center"/>
    </xf>
    <xf numFmtId="0" fontId="109" fillId="0" borderId="47" xfId="0" applyFont="1" applyBorder="1" applyAlignment="1">
      <alignment/>
    </xf>
    <xf numFmtId="2" fontId="97" fillId="0" borderId="48" xfId="0" applyNumberFormat="1" applyFont="1" applyBorder="1" applyAlignment="1">
      <alignment horizontal="center"/>
    </xf>
    <xf numFmtId="0" fontId="97" fillId="0" borderId="49" xfId="0" applyFont="1" applyBorder="1" applyAlignment="1">
      <alignment/>
    </xf>
    <xf numFmtId="0" fontId="97" fillId="0" borderId="50" xfId="0" applyFont="1" applyBorder="1" applyAlignment="1">
      <alignment horizontal="right"/>
    </xf>
    <xf numFmtId="9" fontId="98" fillId="0" borderId="51" xfId="0" applyNumberFormat="1" applyFont="1" applyBorder="1" applyAlignment="1">
      <alignment horizontal="center"/>
    </xf>
    <xf numFmtId="168" fontId="98" fillId="0" borderId="51" xfId="0" applyNumberFormat="1" applyFont="1" applyBorder="1" applyAlignment="1">
      <alignment horizontal="center"/>
    </xf>
    <xf numFmtId="0" fontId="97" fillId="0" borderId="51" xfId="0" applyFont="1" applyBorder="1" applyAlignment="1">
      <alignment horizontal="center"/>
    </xf>
    <xf numFmtId="164" fontId="97" fillId="0" borderId="51" xfId="0" applyNumberFormat="1" applyFont="1" applyBorder="1" applyAlignment="1">
      <alignment horizontal="center"/>
    </xf>
    <xf numFmtId="0" fontId="97" fillId="0" borderId="52" xfId="0" applyFont="1" applyBorder="1" applyAlignment="1">
      <alignment horizontal="center"/>
    </xf>
    <xf numFmtId="2" fontId="99" fillId="0" borderId="33" xfId="0" applyNumberFormat="1" applyFont="1" applyBorder="1" applyAlignment="1">
      <alignment horizontal="right"/>
    </xf>
    <xf numFmtId="2" fontId="99" fillId="0" borderId="32" xfId="0" applyNumberFormat="1" applyFont="1" applyBorder="1" applyAlignment="1">
      <alignment horizontal="right"/>
    </xf>
    <xf numFmtId="169" fontId="96" fillId="0" borderId="33" xfId="0" applyNumberFormat="1" applyFont="1" applyBorder="1" applyAlignment="1">
      <alignment horizontal="center"/>
    </xf>
    <xf numFmtId="0" fontId="96" fillId="36" borderId="29" xfId="0" applyFont="1" applyFill="1" applyBorder="1" applyAlignment="1">
      <alignment/>
    </xf>
    <xf numFmtId="0" fontId="96" fillId="36" borderId="25" xfId="0" applyFont="1" applyFill="1" applyBorder="1" applyAlignment="1">
      <alignment/>
    </xf>
    <xf numFmtId="0" fontId="96" fillId="36" borderId="33" xfId="0" applyFont="1" applyFill="1" applyBorder="1" applyAlignment="1">
      <alignment horizontal="center"/>
    </xf>
    <xf numFmtId="164" fontId="98" fillId="36" borderId="33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96" fillId="6" borderId="29" xfId="0" applyFont="1" applyFill="1" applyBorder="1" applyAlignment="1">
      <alignment/>
    </xf>
    <xf numFmtId="0" fontId="96" fillId="6" borderId="25" xfId="0" applyFont="1" applyFill="1" applyBorder="1" applyAlignment="1">
      <alignment/>
    </xf>
    <xf numFmtId="0" fontId="96" fillId="6" borderId="33" xfId="0" applyFont="1" applyFill="1" applyBorder="1" applyAlignment="1">
      <alignment horizontal="center"/>
    </xf>
    <xf numFmtId="0" fontId="0" fillId="6" borderId="0" xfId="0" applyFill="1" applyAlignment="1">
      <alignment/>
    </xf>
    <xf numFmtId="164" fontId="96" fillId="6" borderId="3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6" fillId="0" borderId="0" xfId="0" applyFont="1" applyAlignment="1">
      <alignment horizontal="center"/>
    </xf>
    <xf numFmtId="2" fontId="86" fillId="0" borderId="12" xfId="0" applyNumberFormat="1" applyFont="1" applyBorder="1" applyAlignment="1">
      <alignment/>
    </xf>
    <xf numFmtId="2" fontId="85" fillId="0" borderId="12" xfId="0" applyNumberFormat="1" applyFont="1" applyBorder="1" applyAlignment="1">
      <alignment/>
    </xf>
    <xf numFmtId="2" fontId="85" fillId="0" borderId="12" xfId="0" applyNumberFormat="1" applyFont="1" applyBorder="1" applyAlignment="1">
      <alignment horizontal="center"/>
    </xf>
    <xf numFmtId="2" fontId="85" fillId="0" borderId="2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82" fillId="0" borderId="12" xfId="0" applyNumberFormat="1" applyFont="1" applyBorder="1" applyAlignment="1">
      <alignment/>
    </xf>
    <xf numFmtId="2" fontId="82" fillId="0" borderId="12" xfId="0" applyNumberFormat="1" applyFont="1" applyBorder="1" applyAlignment="1">
      <alignment horizontal="center"/>
    </xf>
    <xf numFmtId="168" fontId="0" fillId="0" borderId="12" xfId="0" applyNumberFormat="1" applyBorder="1" applyAlignment="1">
      <alignment/>
    </xf>
    <xf numFmtId="0" fontId="96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11" fillId="0" borderId="0" xfId="0" applyFont="1" applyAlignment="1">
      <alignment/>
    </xf>
    <xf numFmtId="0" fontId="85" fillId="0" borderId="53" xfId="0" applyFont="1" applyBorder="1" applyAlignment="1">
      <alignment horizontal="center"/>
    </xf>
    <xf numFmtId="0" fontId="85" fillId="0" borderId="54" xfId="0" applyFont="1" applyBorder="1" applyAlignment="1">
      <alignment horizontal="center"/>
    </xf>
    <xf numFmtId="0" fontId="85" fillId="0" borderId="55" xfId="0" applyFont="1" applyBorder="1" applyAlignment="1">
      <alignment horizontal="center"/>
    </xf>
    <xf numFmtId="0" fontId="85" fillId="0" borderId="56" xfId="0" applyFont="1" applyBorder="1" applyAlignment="1">
      <alignment horizontal="center"/>
    </xf>
    <xf numFmtId="0" fontId="85" fillId="0" borderId="13" xfId="0" applyFont="1" applyBorder="1" applyAlignment="1">
      <alignment/>
    </xf>
    <xf numFmtId="0" fontId="85" fillId="0" borderId="10" xfId="0" applyFont="1" applyBorder="1" applyAlignment="1">
      <alignment/>
    </xf>
    <xf numFmtId="0" fontId="85" fillId="0" borderId="15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85" fillId="0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94" fillId="0" borderId="45" xfId="0" applyFont="1" applyBorder="1" applyAlignment="1">
      <alignment horizontal="center"/>
    </xf>
    <xf numFmtId="0" fontId="94" fillId="0" borderId="15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4" fillId="0" borderId="47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2" fontId="82" fillId="0" borderId="10" xfId="0" applyNumberFormat="1" applyFont="1" applyBorder="1" applyAlignment="1">
      <alignment horizontal="center"/>
    </xf>
    <xf numFmtId="2" fontId="82" fillId="0" borderId="10" xfId="0" applyNumberFormat="1" applyFont="1" applyBorder="1" applyAlignment="1">
      <alignment/>
    </xf>
    <xf numFmtId="0" fontId="94" fillId="0" borderId="58" xfId="0" applyFont="1" applyFill="1" applyBorder="1" applyAlignment="1">
      <alignment horizontal="center"/>
    </xf>
    <xf numFmtId="0" fontId="94" fillId="0" borderId="50" xfId="0" applyFont="1" applyBorder="1" applyAlignment="1">
      <alignment/>
    </xf>
    <xf numFmtId="0" fontId="94" fillId="0" borderId="36" xfId="0" applyFont="1" applyBorder="1" applyAlignment="1">
      <alignment horizontal="center"/>
    </xf>
    <xf numFmtId="0" fontId="93" fillId="0" borderId="50" xfId="0" applyFont="1" applyBorder="1" applyAlignment="1">
      <alignment/>
    </xf>
    <xf numFmtId="2" fontId="0" fillId="0" borderId="59" xfId="0" applyNumberFormat="1" applyBorder="1" applyAlignment="1">
      <alignment/>
    </xf>
    <xf numFmtId="0" fontId="96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98" fillId="12" borderId="33" xfId="0" applyNumberFormat="1" applyFont="1" applyFill="1" applyBorder="1" applyAlignment="1">
      <alignment horizontal="center"/>
    </xf>
    <xf numFmtId="0" fontId="98" fillId="7" borderId="29" xfId="0" applyFont="1" applyFill="1" applyBorder="1" applyAlignment="1">
      <alignment/>
    </xf>
    <xf numFmtId="0" fontId="98" fillId="7" borderId="25" xfId="0" applyFont="1" applyFill="1" applyBorder="1" applyAlignment="1">
      <alignment/>
    </xf>
    <xf numFmtId="0" fontId="98" fillId="7" borderId="33" xfId="0" applyFont="1" applyFill="1" applyBorder="1" applyAlignment="1">
      <alignment horizontal="center"/>
    </xf>
    <xf numFmtId="2" fontId="98" fillId="7" borderId="33" xfId="0" applyNumberFormat="1" applyFont="1" applyFill="1" applyBorder="1" applyAlignment="1">
      <alignment horizontal="center"/>
    </xf>
    <xf numFmtId="0" fontId="96" fillId="0" borderId="29" xfId="0" applyFont="1" applyFill="1" applyBorder="1" applyAlignment="1">
      <alignment/>
    </xf>
    <xf numFmtId="0" fontId="96" fillId="0" borderId="25" xfId="0" applyFont="1" applyFill="1" applyBorder="1" applyAlignment="1">
      <alignment/>
    </xf>
    <xf numFmtId="0" fontId="96" fillId="0" borderId="33" xfId="0" applyFont="1" applyFill="1" applyBorder="1" applyAlignment="1">
      <alignment horizontal="center"/>
    </xf>
    <xf numFmtId="0" fontId="96" fillId="12" borderId="29" xfId="0" applyFont="1" applyFill="1" applyBorder="1" applyAlignment="1">
      <alignment/>
    </xf>
    <xf numFmtId="0" fontId="96" fillId="12" borderId="25" xfId="0" applyFont="1" applyFill="1" applyBorder="1" applyAlignment="1">
      <alignment/>
    </xf>
    <xf numFmtId="0" fontId="96" fillId="12" borderId="33" xfId="0" applyFont="1" applyFill="1" applyBorder="1" applyAlignment="1">
      <alignment horizontal="center"/>
    </xf>
    <xf numFmtId="0" fontId="96" fillId="3" borderId="29" xfId="0" applyFont="1" applyFill="1" applyBorder="1" applyAlignment="1">
      <alignment/>
    </xf>
    <xf numFmtId="0" fontId="96" fillId="3" borderId="25" xfId="0" applyFont="1" applyFill="1" applyBorder="1" applyAlignment="1">
      <alignment/>
    </xf>
    <xf numFmtId="0" fontId="96" fillId="3" borderId="33" xfId="0" applyFont="1" applyFill="1" applyBorder="1" applyAlignment="1">
      <alignment horizontal="center"/>
    </xf>
    <xf numFmtId="2" fontId="98" fillId="3" borderId="33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2" fontId="86" fillId="0" borderId="12" xfId="0" applyNumberFormat="1" applyFont="1" applyBorder="1" applyAlignment="1">
      <alignment horizontal="left"/>
    </xf>
    <xf numFmtId="2" fontId="85" fillId="0" borderId="12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95" fillId="0" borderId="50" xfId="0" applyFont="1" applyBorder="1" applyAlignment="1">
      <alignment/>
    </xf>
    <xf numFmtId="0" fontId="92" fillId="0" borderId="60" xfId="0" applyFont="1" applyBorder="1" applyAlignment="1">
      <alignment horizontal="center"/>
    </xf>
    <xf numFmtId="2" fontId="82" fillId="0" borderId="59" xfId="0" applyNumberFormat="1" applyFont="1" applyBorder="1" applyAlignment="1">
      <alignment/>
    </xf>
    <xf numFmtId="0" fontId="92" fillId="0" borderId="61" xfId="0" applyFont="1" applyBorder="1" applyAlignment="1">
      <alignment horizontal="center"/>
    </xf>
    <xf numFmtId="0" fontId="93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93" fillId="0" borderId="12" xfId="0" applyFont="1" applyFill="1" applyBorder="1" applyAlignment="1">
      <alignment horizontal="center"/>
    </xf>
    <xf numFmtId="0" fontId="95" fillId="0" borderId="12" xfId="0" applyFont="1" applyBorder="1" applyAlignment="1">
      <alignment/>
    </xf>
    <xf numFmtId="0" fontId="94" fillId="0" borderId="12" xfId="0" applyFont="1" applyBorder="1" applyAlignment="1">
      <alignment/>
    </xf>
    <xf numFmtId="172" fontId="96" fillId="0" borderId="33" xfId="0" applyNumberFormat="1" applyFont="1" applyBorder="1" applyAlignment="1">
      <alignment/>
    </xf>
    <xf numFmtId="172" fontId="96" fillId="0" borderId="33" xfId="0" applyNumberFormat="1" applyFont="1" applyFill="1" applyBorder="1" applyAlignment="1">
      <alignment/>
    </xf>
    <xf numFmtId="0" fontId="10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2" fillId="37" borderId="0" xfId="0" applyFont="1" applyFill="1" applyBorder="1" applyAlignment="1">
      <alignment horizontal="left" indent="1"/>
    </xf>
    <xf numFmtId="0" fontId="1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94" fillId="0" borderId="13" xfId="0" applyFont="1" applyBorder="1" applyAlignment="1">
      <alignment horizontal="center"/>
    </xf>
    <xf numFmtId="0" fontId="92" fillId="0" borderId="10" xfId="0" applyFont="1" applyBorder="1" applyAlignment="1">
      <alignment horizontal="right"/>
    </xf>
    <xf numFmtId="0" fontId="86" fillId="0" borderId="15" xfId="0" applyFont="1" applyFill="1" applyBorder="1" applyAlignment="1">
      <alignment horizontal="center"/>
    </xf>
    <xf numFmtId="0" fontId="86" fillId="0" borderId="64" xfId="0" applyFon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86" fillId="0" borderId="13" xfId="0" applyFont="1" applyBorder="1" applyAlignment="1">
      <alignment horizontal="center"/>
    </xf>
    <xf numFmtId="0" fontId="86" fillId="0" borderId="65" xfId="0" applyFont="1" applyBorder="1" applyAlignment="1">
      <alignment/>
    </xf>
    <xf numFmtId="0" fontId="103" fillId="0" borderId="0" xfId="0" applyFont="1" applyBorder="1" applyAlignment="1">
      <alignment horizontal="center"/>
    </xf>
    <xf numFmtId="2" fontId="86" fillId="0" borderId="10" xfId="0" applyNumberFormat="1" applyFont="1" applyBorder="1" applyAlignment="1">
      <alignment/>
    </xf>
    <xf numFmtId="0" fontId="85" fillId="0" borderId="13" xfId="0" applyFont="1" applyBorder="1" applyAlignment="1">
      <alignment horizontal="center"/>
    </xf>
    <xf numFmtId="0" fontId="85" fillId="0" borderId="13" xfId="0" applyFont="1" applyBorder="1" applyAlignment="1">
      <alignment horizontal="center" vertical="center"/>
    </xf>
    <xf numFmtId="2" fontId="85" fillId="0" borderId="10" xfId="0" applyNumberFormat="1" applyFont="1" applyBorder="1" applyAlignment="1">
      <alignment horizontal="center" vertical="center"/>
    </xf>
    <xf numFmtId="0" fontId="85" fillId="0" borderId="65" xfId="0" applyFont="1" applyBorder="1" applyAlignment="1">
      <alignment/>
    </xf>
    <xf numFmtId="0" fontId="85" fillId="3" borderId="13" xfId="0" applyFont="1" applyFill="1" applyBorder="1" applyAlignment="1">
      <alignment horizontal="center"/>
    </xf>
    <xf numFmtId="0" fontId="85" fillId="3" borderId="65" xfId="0" applyFont="1" applyFill="1" applyBorder="1" applyAlignment="1">
      <alignment/>
    </xf>
    <xf numFmtId="2" fontId="85" fillId="0" borderId="10" xfId="0" applyNumberFormat="1" applyFont="1" applyBorder="1" applyAlignment="1">
      <alignment/>
    </xf>
    <xf numFmtId="2" fontId="86" fillId="0" borderId="10" xfId="0" applyNumberFormat="1" applyFont="1" applyBorder="1" applyAlignment="1">
      <alignment horizontal="left"/>
    </xf>
    <xf numFmtId="0" fontId="85" fillId="6" borderId="13" xfId="0" applyFont="1" applyFill="1" applyBorder="1" applyAlignment="1">
      <alignment horizontal="center"/>
    </xf>
    <xf numFmtId="0" fontId="85" fillId="6" borderId="65" xfId="0" applyFont="1" applyFill="1" applyBorder="1" applyAlignment="1">
      <alignment/>
    </xf>
    <xf numFmtId="0" fontId="85" fillId="4" borderId="13" xfId="0" applyFont="1" applyFill="1" applyBorder="1" applyAlignment="1">
      <alignment horizontal="center"/>
    </xf>
    <xf numFmtId="0" fontId="85" fillId="4" borderId="65" xfId="0" applyFont="1" applyFill="1" applyBorder="1" applyAlignment="1">
      <alignment/>
    </xf>
    <xf numFmtId="0" fontId="85" fillId="0" borderId="64" xfId="0" applyFont="1" applyBorder="1" applyAlignment="1">
      <alignment horizontal="center"/>
    </xf>
    <xf numFmtId="0" fontId="85" fillId="5" borderId="13" xfId="0" applyFont="1" applyFill="1" applyBorder="1" applyAlignment="1">
      <alignment/>
    </xf>
    <xf numFmtId="0" fontId="85" fillId="5" borderId="65" xfId="0" applyFont="1" applyFill="1" applyBorder="1" applyAlignment="1">
      <alignment/>
    </xf>
    <xf numFmtId="0" fontId="85" fillId="0" borderId="10" xfId="0" applyFont="1" applyBorder="1" applyAlignment="1">
      <alignment horizontal="center"/>
    </xf>
    <xf numFmtId="0" fontId="104" fillId="0" borderId="66" xfId="0" applyFont="1" applyBorder="1" applyAlignment="1">
      <alignment/>
    </xf>
    <xf numFmtId="0" fontId="104" fillId="0" borderId="10" xfId="0" applyFont="1" applyBorder="1" applyAlignment="1">
      <alignment/>
    </xf>
    <xf numFmtId="2" fontId="85" fillId="0" borderId="63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168" fontId="0" fillId="0" borderId="10" xfId="0" applyNumberFormat="1" applyBorder="1" applyAlignment="1">
      <alignment/>
    </xf>
    <xf numFmtId="0" fontId="2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59" xfId="0" applyBorder="1" applyAlignment="1">
      <alignment/>
    </xf>
    <xf numFmtId="2" fontId="104" fillId="0" borderId="10" xfId="0" applyNumberFormat="1" applyFont="1" applyBorder="1" applyAlignment="1">
      <alignment/>
    </xf>
    <xf numFmtId="0" fontId="96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14" fontId="113" fillId="0" borderId="0" xfId="0" applyNumberFormat="1" applyFont="1" applyAlignment="1">
      <alignment horizontal="center"/>
    </xf>
    <xf numFmtId="0" fontId="96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14" fillId="0" borderId="0" xfId="0" applyFont="1" applyAlignment="1">
      <alignment/>
    </xf>
    <xf numFmtId="0" fontId="111" fillId="36" borderId="0" xfId="0" applyFont="1" applyFill="1" applyAlignment="1">
      <alignment/>
    </xf>
    <xf numFmtId="0" fontId="85" fillId="36" borderId="0" xfId="0" applyFont="1" applyFill="1" applyAlignment="1">
      <alignment/>
    </xf>
    <xf numFmtId="2" fontId="22" fillId="0" borderId="19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4" fontId="104" fillId="36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left" indent="1"/>
    </xf>
    <xf numFmtId="0" fontId="113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2" fontId="85" fillId="0" borderId="65" xfId="0" applyNumberFormat="1" applyFont="1" applyBorder="1" applyAlignment="1">
      <alignment horizontal="center" vertical="center"/>
    </xf>
    <xf numFmtId="0" fontId="103" fillId="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01" fillId="0" borderId="14" xfId="0" applyFont="1" applyBorder="1" applyAlignment="1">
      <alignment horizontal="center"/>
    </xf>
    <xf numFmtId="2" fontId="2" fillId="0" borderId="65" xfId="0" applyNumberFormat="1" applyFont="1" applyBorder="1" applyAlignment="1">
      <alignment/>
    </xf>
    <xf numFmtId="0" fontId="101" fillId="4" borderId="23" xfId="0" applyFont="1" applyFill="1" applyBorder="1" applyAlignment="1">
      <alignment horizontal="center"/>
    </xf>
    <xf numFmtId="0" fontId="101" fillId="4" borderId="67" xfId="0" applyFont="1" applyFill="1" applyBorder="1" applyAlignment="1">
      <alignment horizontal="center"/>
    </xf>
    <xf numFmtId="0" fontId="85" fillId="0" borderId="68" xfId="0" applyFont="1" applyBorder="1" applyAlignment="1">
      <alignment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1" fillId="4" borderId="10" xfId="0" applyNumberFormat="1" applyFont="1" applyFill="1" applyBorder="1" applyAlignment="1">
      <alignment horizontal="left"/>
    </xf>
    <xf numFmtId="2" fontId="115" fillId="4" borderId="65" xfId="0" applyNumberFormat="1" applyFont="1" applyFill="1" applyBorder="1" applyAlignment="1">
      <alignment horizontal="left"/>
    </xf>
    <xf numFmtId="2" fontId="115" fillId="4" borderId="11" xfId="0" applyNumberFormat="1" applyFont="1" applyFill="1" applyBorder="1" applyAlignment="1">
      <alignment horizontal="left" vertical="center"/>
    </xf>
    <xf numFmtId="2" fontId="86" fillId="0" borderId="65" xfId="0" applyNumberFormat="1" applyFont="1" applyBorder="1" applyAlignment="1">
      <alignment/>
    </xf>
    <xf numFmtId="0" fontId="103" fillId="0" borderId="14" xfId="0" applyFont="1" applyBorder="1" applyAlignment="1">
      <alignment horizontal="center"/>
    </xf>
    <xf numFmtId="2" fontId="85" fillId="0" borderId="65" xfId="0" applyNumberFormat="1" applyFont="1" applyBorder="1" applyAlignment="1">
      <alignment/>
    </xf>
    <xf numFmtId="0" fontId="103" fillId="4" borderId="67" xfId="0" applyFont="1" applyFill="1" applyBorder="1" applyAlignment="1">
      <alignment horizontal="center"/>
    </xf>
    <xf numFmtId="0" fontId="111" fillId="4" borderId="18" xfId="0" applyFont="1" applyFill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3" fillId="0" borderId="18" xfId="0" applyFont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23" xfId="0" applyFont="1" applyBorder="1" applyAlignment="1">
      <alignment horizontal="left" indent="1"/>
    </xf>
    <xf numFmtId="0" fontId="2" fillId="0" borderId="19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 vertical="center"/>
    </xf>
    <xf numFmtId="2" fontId="22" fillId="4" borderId="23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4" borderId="23" xfId="0" applyFont="1" applyFill="1" applyBorder="1" applyAlignment="1">
      <alignment horizontal="left" indent="1"/>
    </xf>
    <xf numFmtId="0" fontId="15" fillId="0" borderId="14" xfId="0" applyFont="1" applyBorder="1" applyAlignment="1">
      <alignment horizontal="left" indent="1"/>
    </xf>
    <xf numFmtId="0" fontId="15" fillId="4" borderId="23" xfId="0" applyFont="1" applyFill="1" applyBorder="1" applyAlignment="1">
      <alignment horizontal="left" indent="1"/>
    </xf>
    <xf numFmtId="0" fontId="15" fillId="0" borderId="14" xfId="0" applyFont="1" applyBorder="1" applyAlignment="1">
      <alignment horizontal="left" vertical="center" indent="1"/>
    </xf>
    <xf numFmtId="0" fontId="15" fillId="4" borderId="23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Fill="1" applyBorder="1" applyAlignment="1">
      <alignment horizontal="left" indent="1"/>
    </xf>
    <xf numFmtId="0" fontId="3" fillId="0" borderId="6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indent="1"/>
    </xf>
    <xf numFmtId="0" fontId="3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left" indent="1"/>
    </xf>
    <xf numFmtId="2" fontId="116" fillId="4" borderId="10" xfId="0" applyNumberFormat="1" applyFont="1" applyFill="1" applyBorder="1" applyAlignment="1">
      <alignment horizontal="left"/>
    </xf>
    <xf numFmtId="0" fontId="111" fillId="4" borderId="11" xfId="0" applyFont="1" applyFill="1" applyBorder="1" applyAlignment="1">
      <alignment horizontal="center"/>
    </xf>
    <xf numFmtId="0" fontId="86" fillId="0" borderId="66" xfId="0" applyFont="1" applyBorder="1" applyAlignment="1">
      <alignment horizontal="center"/>
    </xf>
    <xf numFmtId="0" fontId="86" fillId="0" borderId="71" xfId="0" applyFont="1" applyBorder="1" applyAlignment="1">
      <alignment/>
    </xf>
    <xf numFmtId="0" fontId="85" fillId="0" borderId="69" xfId="0" applyFont="1" applyBorder="1" applyAlignment="1">
      <alignment horizontal="center"/>
    </xf>
    <xf numFmtId="0" fontId="91" fillId="0" borderId="68" xfId="0" applyFont="1" applyBorder="1" applyAlignment="1">
      <alignment/>
    </xf>
    <xf numFmtId="0" fontId="86" fillId="0" borderId="19" xfId="0" applyFont="1" applyBorder="1" applyAlignment="1">
      <alignment horizontal="center"/>
    </xf>
    <xf numFmtId="0" fontId="86" fillId="4" borderId="24" xfId="0" applyFont="1" applyFill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85" fillId="4" borderId="24" xfId="0" applyFont="1" applyFill="1" applyBorder="1" applyAlignment="1">
      <alignment horizontal="center"/>
    </xf>
    <xf numFmtId="0" fontId="85" fillId="0" borderId="19" xfId="0" applyFont="1" applyBorder="1" applyAlignment="1">
      <alignment horizontal="center" vertical="center"/>
    </xf>
    <xf numFmtId="0" fontId="85" fillId="4" borderId="24" xfId="0" applyFont="1" applyFill="1" applyBorder="1" applyAlignment="1">
      <alignment horizontal="center" vertical="center"/>
    </xf>
    <xf numFmtId="0" fontId="86" fillId="0" borderId="14" xfId="0" applyFont="1" applyBorder="1" applyAlignment="1">
      <alignment/>
    </xf>
    <xf numFmtId="0" fontId="86" fillId="4" borderId="23" xfId="0" applyFont="1" applyFill="1" applyBorder="1" applyAlignment="1">
      <alignment/>
    </xf>
    <xf numFmtId="0" fontId="85" fillId="4" borderId="23" xfId="0" applyFont="1" applyFill="1" applyBorder="1" applyAlignment="1">
      <alignment/>
    </xf>
    <xf numFmtId="0" fontId="85" fillId="0" borderId="14" xfId="0" applyFont="1" applyBorder="1" applyAlignment="1">
      <alignment horizontal="left" vertical="center"/>
    </xf>
    <xf numFmtId="0" fontId="85" fillId="4" borderId="23" xfId="0" applyFont="1" applyFill="1" applyBorder="1" applyAlignment="1">
      <alignment horizontal="left" vertical="center"/>
    </xf>
    <xf numFmtId="0" fontId="86" fillId="0" borderId="72" xfId="0" applyFont="1" applyFill="1" applyBorder="1" applyAlignment="1">
      <alignment horizontal="center"/>
    </xf>
    <xf numFmtId="0" fontId="94" fillId="0" borderId="69" xfId="0" applyFont="1" applyBorder="1" applyAlignment="1">
      <alignment horizontal="center"/>
    </xf>
    <xf numFmtId="0" fontId="92" fillId="0" borderId="23" xfId="0" applyFont="1" applyBorder="1" applyAlignment="1">
      <alignment/>
    </xf>
    <xf numFmtId="0" fontId="93" fillId="0" borderId="14" xfId="0" applyFont="1" applyBorder="1" applyAlignment="1">
      <alignment/>
    </xf>
    <xf numFmtId="0" fontId="93" fillId="0" borderId="23" xfId="0" applyFont="1" applyBorder="1" applyAlignment="1">
      <alignment/>
    </xf>
    <xf numFmtId="2" fontId="115" fillId="0" borderId="11" xfId="0" applyNumberFormat="1" applyFont="1" applyBorder="1" applyAlignment="1">
      <alignment horizontal="left"/>
    </xf>
    <xf numFmtId="0" fontId="85" fillId="0" borderId="14" xfId="0" applyFont="1" applyBorder="1" applyAlignment="1">
      <alignment horizontal="left" vertical="center"/>
    </xf>
    <xf numFmtId="0" fontId="94" fillId="0" borderId="66" xfId="0" applyFont="1" applyBorder="1" applyAlignment="1">
      <alignment horizontal="center"/>
    </xf>
    <xf numFmtId="0" fontId="92" fillId="0" borderId="14" xfId="0" applyFont="1" applyBorder="1" applyAlignment="1">
      <alignment/>
    </xf>
    <xf numFmtId="0" fontId="94" fillId="0" borderId="69" xfId="0" applyFont="1" applyFill="1" applyBorder="1" applyAlignment="1">
      <alignment horizontal="center"/>
    </xf>
    <xf numFmtId="0" fontId="95" fillId="0" borderId="23" xfId="0" applyFont="1" applyBorder="1" applyAlignment="1">
      <alignment/>
    </xf>
    <xf numFmtId="0" fontId="92" fillId="0" borderId="18" xfId="0" applyFont="1" applyBorder="1" applyAlignment="1">
      <alignment horizontal="center"/>
    </xf>
    <xf numFmtId="0" fontId="115" fillId="0" borderId="18" xfId="0" applyFont="1" applyBorder="1" applyAlignment="1">
      <alignment horizontal="center"/>
    </xf>
    <xf numFmtId="0" fontId="0" fillId="0" borderId="65" xfId="0" applyBorder="1" applyAlignment="1">
      <alignment horizontal="center"/>
    </xf>
    <xf numFmtId="2" fontId="117" fillId="0" borderId="65" xfId="0" applyNumberFormat="1" applyFont="1" applyBorder="1" applyAlignment="1">
      <alignment horizontal="left"/>
    </xf>
    <xf numFmtId="2" fontId="0" fillId="0" borderId="65" xfId="0" applyNumberFormat="1" applyBorder="1" applyAlignment="1">
      <alignment horizontal="center"/>
    </xf>
    <xf numFmtId="2" fontId="82" fillId="0" borderId="65" xfId="0" applyNumberFormat="1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2" fontId="118" fillId="0" borderId="65" xfId="0" applyNumberFormat="1" applyFont="1" applyBorder="1" applyAlignment="1">
      <alignment horizontal="left"/>
    </xf>
    <xf numFmtId="2" fontId="0" fillId="0" borderId="65" xfId="0" applyNumberFormat="1" applyBorder="1" applyAlignment="1">
      <alignment/>
    </xf>
    <xf numFmtId="0" fontId="92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93" fillId="0" borderId="67" xfId="0" applyFont="1" applyBorder="1" applyAlignment="1">
      <alignment/>
    </xf>
    <xf numFmtId="2" fontId="116" fillId="0" borderId="23" xfId="0" applyNumberFormat="1" applyFont="1" applyBorder="1" applyAlignment="1">
      <alignment horizontal="left"/>
    </xf>
    <xf numFmtId="0" fontId="85" fillId="0" borderId="14" xfId="0" applyFont="1" applyBorder="1" applyAlignment="1">
      <alignment horizontal="left" vertical="center"/>
    </xf>
    <xf numFmtId="0" fontId="85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66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65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94" fillId="0" borderId="23" xfId="0" applyFont="1" applyFill="1" applyBorder="1" applyAlignment="1">
      <alignment horizontal="center" vertical="center"/>
    </xf>
    <xf numFmtId="0" fontId="95" fillId="0" borderId="14" xfId="0" applyFont="1" applyBorder="1" applyAlignment="1">
      <alignment horizontal="left" vertical="center" wrapText="1"/>
    </xf>
    <xf numFmtId="0" fontId="95" fillId="0" borderId="23" xfId="0" applyFont="1" applyBorder="1" applyAlignment="1">
      <alignment horizontal="left" vertical="center" wrapText="1"/>
    </xf>
    <xf numFmtId="0" fontId="93" fillId="0" borderId="14" xfId="0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 horizontal="center" vertical="center"/>
    </xf>
    <xf numFmtId="0" fontId="95" fillId="0" borderId="14" xfId="0" applyFont="1" applyBorder="1" applyAlignment="1">
      <alignment horizontal="left" vertical="center"/>
    </xf>
    <xf numFmtId="0" fontId="95" fillId="0" borderId="23" xfId="0" applyFont="1" applyBorder="1" applyAlignment="1">
      <alignment horizontal="left" vertical="center"/>
    </xf>
    <xf numFmtId="0" fontId="85" fillId="0" borderId="14" xfId="0" applyFont="1" applyFill="1" applyBorder="1" applyAlignment="1">
      <alignment horizontal="center" vertical="center"/>
    </xf>
    <xf numFmtId="0" fontId="85" fillId="0" borderId="23" xfId="0" applyFont="1" applyFill="1" applyBorder="1" applyAlignment="1">
      <alignment horizontal="center" vertical="center"/>
    </xf>
    <xf numFmtId="0" fontId="85" fillId="0" borderId="14" xfId="0" applyFont="1" applyBorder="1" applyAlignment="1">
      <alignment horizontal="left" vertical="center"/>
    </xf>
    <xf numFmtId="0" fontId="85" fillId="0" borderId="23" xfId="0" applyFont="1" applyBorder="1" applyAlignment="1">
      <alignment horizontal="left" vertical="center"/>
    </xf>
    <xf numFmtId="0" fontId="93" fillId="0" borderId="14" xfId="0" applyFont="1" applyBorder="1" applyAlignment="1">
      <alignment horizontal="left" vertical="center"/>
    </xf>
    <xf numFmtId="0" fontId="93" fillId="0" borderId="23" xfId="0" applyFont="1" applyBorder="1" applyAlignment="1">
      <alignment horizontal="left" vertical="center"/>
    </xf>
    <xf numFmtId="0" fontId="82" fillId="0" borderId="70" xfId="0" applyFont="1" applyBorder="1" applyAlignment="1">
      <alignment horizontal="center" vertical="center"/>
    </xf>
    <xf numFmtId="0" fontId="82" fillId="0" borderId="68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74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/>
    </xf>
    <xf numFmtId="0" fontId="82" fillId="0" borderId="65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92" fillId="0" borderId="33" xfId="0" applyFont="1" applyFill="1" applyBorder="1" applyAlignment="1">
      <alignment horizontal="center"/>
    </xf>
    <xf numFmtId="0" fontId="10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108" fillId="36" borderId="0" xfId="0" applyFont="1" applyFill="1" applyAlignment="1">
      <alignment horizontal="center"/>
    </xf>
    <xf numFmtId="0" fontId="107" fillId="0" borderId="0" xfId="0" applyFont="1" applyAlignment="1">
      <alignment horizontal="center"/>
    </xf>
    <xf numFmtId="0" fontId="100" fillId="0" borderId="40" xfId="0" applyFont="1" applyFill="1" applyBorder="1" applyAlignment="1">
      <alignment horizontal="center"/>
    </xf>
    <xf numFmtId="0" fontId="100" fillId="0" borderId="76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udotojas\AppData\Local\Microsoft\Windows\Temporary%20Internet%20Files\Content.IE5\D5OFHB3L\08%20-%20kainos%20pagal%2034%20ir%2035%20%20priedus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luma_08"/>
      <sheetName val="k_vanduo_08"/>
      <sheetName val="kuras_kainoms"/>
      <sheetName val="pirktas_kuras"/>
      <sheetName val="Lapas2"/>
    </sheetNames>
    <sheetDataSet>
      <sheetData sheetId="3">
        <row r="25">
          <cell r="E25">
            <v>0</v>
          </cell>
        </row>
        <row r="31">
          <cell r="E31">
            <v>36.281459999999996</v>
          </cell>
        </row>
        <row r="34">
          <cell r="E34">
            <v>4.455</v>
          </cell>
        </row>
        <row r="40">
          <cell r="E40">
            <v>0</v>
          </cell>
        </row>
        <row r="46">
          <cell r="E46">
            <v>0.208125</v>
          </cell>
        </row>
        <row r="49">
          <cell r="E49">
            <v>366.7073769131658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yksciusiluma.lt/" TargetMode="External" /><Relationship Id="rId2" Type="http://schemas.openxmlformats.org/officeDocument/2006/relationships/hyperlink" Target="http://www.anyksciusiluma.lt/" TargetMode="External" /><Relationship Id="rId3" Type="http://schemas.openxmlformats.org/officeDocument/2006/relationships/hyperlink" Target="http://www.anyksciusiluma.lt/" TargetMode="External" /><Relationship Id="rId4" Type="http://schemas.openxmlformats.org/officeDocument/2006/relationships/hyperlink" Target="http://www.anyksciusiluma.lt/" TargetMode="External" /><Relationship Id="rId5" Type="http://schemas.openxmlformats.org/officeDocument/2006/relationships/hyperlink" Target="http://www.anyksciusiluma.lt/" TargetMode="External" /><Relationship Id="rId6" Type="http://schemas.openxmlformats.org/officeDocument/2006/relationships/hyperlink" Target="http://www.anyksciusiluma.lt/" TargetMode="External" /><Relationship Id="rId7" Type="http://schemas.openxmlformats.org/officeDocument/2006/relationships/hyperlink" Target="http://www.anyksciusiluma.lt/" TargetMode="External" /><Relationship Id="rId8" Type="http://schemas.openxmlformats.org/officeDocument/2006/relationships/hyperlink" Target="http://www.anyksciusiluma.lt/" TargetMode="External" /><Relationship Id="rId9" Type="http://schemas.openxmlformats.org/officeDocument/2006/relationships/hyperlink" Target="http://www.anyksciusiluma.lt/" TargetMode="External" /><Relationship Id="rId10" Type="http://schemas.openxmlformats.org/officeDocument/2006/relationships/hyperlink" Target="http://www.anyksciusiluma.lt/" TargetMode="External" /><Relationship Id="rId11" Type="http://schemas.openxmlformats.org/officeDocument/2006/relationships/hyperlink" Target="http://www.anyksciusiluma.lt/" TargetMode="External" /><Relationship Id="rId12" Type="http://schemas.openxmlformats.org/officeDocument/2006/relationships/hyperlink" Target="http://www.anyksciusiluma.lt/" TargetMode="External" /><Relationship Id="rId13" Type="http://schemas.openxmlformats.org/officeDocument/2006/relationships/hyperlink" Target="http://www.anyksciusiluma.lt/" TargetMode="External" /><Relationship Id="rId14" Type="http://schemas.openxmlformats.org/officeDocument/2006/relationships/hyperlink" Target="http://www.anyksciusiluma.lt/" TargetMode="External" /><Relationship Id="rId15" Type="http://schemas.openxmlformats.org/officeDocument/2006/relationships/hyperlink" Target="http://www.anyksciusiluma.lt/" TargetMode="External" /><Relationship Id="rId16" Type="http://schemas.openxmlformats.org/officeDocument/2006/relationships/hyperlink" Target="http://www.anyksciusiluma.lt/" TargetMode="External" /><Relationship Id="rId17" Type="http://schemas.openxmlformats.org/officeDocument/2006/relationships/hyperlink" Target="http://www.anyksciusiluma.lt/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2"/>
  <sheetViews>
    <sheetView tabSelected="1" zoomScalePageLayoutView="0" workbookViewId="0" topLeftCell="A1454">
      <selection activeCell="A547" sqref="A547:IV1453"/>
    </sheetView>
  </sheetViews>
  <sheetFormatPr defaultColWidth="9.140625" defaultRowHeight="15"/>
  <cols>
    <col min="1" max="1" width="6.421875" style="0" customWidth="1"/>
    <col min="2" max="2" width="58.140625" style="0" customWidth="1"/>
    <col min="3" max="3" width="14.00390625" style="0" customWidth="1"/>
    <col min="4" max="4" width="39.00390625" style="0" customWidth="1"/>
    <col min="5" max="5" width="10.421875" style="0" customWidth="1"/>
    <col min="6" max="6" width="11.28125" style="0" customWidth="1"/>
  </cols>
  <sheetData>
    <row r="1" spans="1:9" ht="15" hidden="1">
      <c r="A1" s="140" t="s">
        <v>0</v>
      </c>
      <c r="B1" s="140"/>
      <c r="C1" s="140"/>
      <c r="D1" s="140"/>
      <c r="E1" s="140" t="s">
        <v>107</v>
      </c>
      <c r="F1" s="3"/>
      <c r="G1" s="3"/>
      <c r="H1" s="3"/>
      <c r="I1" s="3"/>
    </row>
    <row r="2" spans="1:9" ht="15" hidden="1">
      <c r="A2" s="140" t="s">
        <v>1</v>
      </c>
      <c r="B2" s="140"/>
      <c r="C2" s="140"/>
      <c r="D2" s="140" t="s">
        <v>178</v>
      </c>
      <c r="E2" s="3"/>
      <c r="F2" s="3"/>
      <c r="G2" s="3"/>
      <c r="H2" s="3"/>
      <c r="I2" s="3"/>
    </row>
    <row r="3" spans="1:9" ht="15" hidden="1">
      <c r="A3" s="140" t="s">
        <v>2</v>
      </c>
      <c r="B3" s="140"/>
      <c r="C3" s="140"/>
      <c r="D3" s="140" t="s">
        <v>167</v>
      </c>
      <c r="E3" s="5"/>
      <c r="F3" s="3"/>
      <c r="G3" s="3"/>
      <c r="H3" s="3"/>
      <c r="I3" s="3"/>
    </row>
    <row r="4" spans="1:9" ht="15" hidden="1">
      <c r="A4" s="140" t="s">
        <v>3</v>
      </c>
      <c r="B4" s="140"/>
      <c r="C4" s="140"/>
      <c r="D4" s="140" t="s">
        <v>168</v>
      </c>
      <c r="E4" s="3"/>
      <c r="F4" s="3"/>
      <c r="G4" s="3"/>
      <c r="H4" s="3"/>
      <c r="I4" s="3"/>
    </row>
    <row r="5" spans="1:9" ht="15" hidden="1">
      <c r="A5" s="140" t="s">
        <v>4</v>
      </c>
      <c r="B5" s="140"/>
      <c r="C5" s="140"/>
      <c r="D5" s="140" t="s">
        <v>169</v>
      </c>
      <c r="E5" s="3"/>
      <c r="F5" s="3"/>
      <c r="G5" s="3"/>
      <c r="H5" s="3"/>
      <c r="I5" s="3"/>
    </row>
    <row r="6" spans="1:9" ht="15" hidden="1">
      <c r="A6" s="161" t="s">
        <v>192</v>
      </c>
      <c r="B6" s="140"/>
      <c r="C6" s="140"/>
      <c r="D6" s="140"/>
      <c r="E6" s="3"/>
      <c r="F6" s="3"/>
      <c r="G6" s="3"/>
      <c r="H6" s="3"/>
      <c r="I6" s="3"/>
    </row>
    <row r="7" spans="1:9" ht="15" hidden="1">
      <c r="A7" s="140" t="s">
        <v>5</v>
      </c>
      <c r="B7" s="140"/>
      <c r="C7" s="140"/>
      <c r="D7" s="140" t="s">
        <v>170</v>
      </c>
      <c r="E7" s="3"/>
      <c r="F7" s="3"/>
      <c r="G7" s="3"/>
      <c r="H7" s="3"/>
      <c r="I7" s="3"/>
    </row>
    <row r="8" spans="1:9" ht="15" hidden="1">
      <c r="A8" s="1"/>
      <c r="B8" s="1"/>
      <c r="C8" s="1"/>
      <c r="D8" s="1"/>
      <c r="E8" s="1"/>
      <c r="F8" s="1"/>
      <c r="G8" s="1"/>
      <c r="H8" s="1"/>
      <c r="I8" s="1"/>
    </row>
    <row r="9" spans="1:9" ht="15.75" hidden="1">
      <c r="A9" s="150"/>
      <c r="B9" s="150" t="s">
        <v>184</v>
      </c>
      <c r="C9" s="2"/>
      <c r="D9" s="2"/>
      <c r="F9" s="2"/>
      <c r="G9" s="2"/>
      <c r="H9" s="2"/>
      <c r="I9" s="2"/>
    </row>
    <row r="10" spans="1:9" ht="15.75" hidden="1">
      <c r="A10" s="150"/>
      <c r="B10" s="150"/>
      <c r="C10" s="159">
        <v>41479</v>
      </c>
      <c r="D10" s="2"/>
      <c r="F10" s="2"/>
      <c r="G10" s="2"/>
      <c r="H10" s="2"/>
      <c r="I10" s="2"/>
    </row>
    <row r="11" spans="1:9" ht="15.75" hidden="1">
      <c r="A11" s="150"/>
      <c r="B11" s="150"/>
      <c r="C11" s="160" t="s">
        <v>191</v>
      </c>
      <c r="D11" s="2"/>
      <c r="F11" s="2"/>
      <c r="G11" s="2"/>
      <c r="H11" s="2"/>
      <c r="I11" s="2"/>
    </row>
    <row r="12" spans="1:9" ht="15" hidden="1">
      <c r="A12" s="2" t="s">
        <v>6</v>
      </c>
      <c r="B12" s="2"/>
      <c r="C12" s="2"/>
      <c r="D12" s="2"/>
      <c r="E12" s="2"/>
      <c r="F12" s="1"/>
      <c r="G12" s="1"/>
      <c r="H12" s="1"/>
      <c r="I12" s="1"/>
    </row>
    <row r="13" spans="1:9" ht="15" hidden="1">
      <c r="A13" s="1" t="s">
        <v>195</v>
      </c>
      <c r="B13" s="1"/>
      <c r="C13" s="1"/>
      <c r="D13" s="1"/>
      <c r="E13" s="1"/>
      <c r="F13" s="1"/>
      <c r="G13" s="1"/>
      <c r="H13" s="1"/>
      <c r="I13" s="1"/>
    </row>
    <row r="14" spans="1:9" ht="15" hidden="1">
      <c r="A14" s="1" t="s">
        <v>7</v>
      </c>
      <c r="B14" s="1"/>
      <c r="C14" s="1"/>
      <c r="D14" s="1"/>
      <c r="E14" s="1"/>
      <c r="F14" s="1"/>
      <c r="G14" s="1"/>
      <c r="H14" s="1"/>
      <c r="I14" s="1"/>
    </row>
    <row r="15" spans="1:9" ht="15" hidden="1">
      <c r="A15" s="1"/>
      <c r="B15" s="1"/>
      <c r="C15" s="1"/>
      <c r="D15" s="1"/>
      <c r="E15" s="1"/>
      <c r="F15" s="1"/>
      <c r="G15" s="1"/>
      <c r="H15" s="1"/>
      <c r="I15" s="1"/>
    </row>
    <row r="16" spans="1:9" ht="15" hidden="1">
      <c r="A16" s="27" t="s">
        <v>8</v>
      </c>
      <c r="B16" s="27" t="s">
        <v>9</v>
      </c>
      <c r="C16" s="27" t="s">
        <v>10</v>
      </c>
      <c r="D16" s="27" t="s">
        <v>11</v>
      </c>
      <c r="E16" s="27" t="s">
        <v>12</v>
      </c>
      <c r="F16" s="1"/>
      <c r="G16" s="1"/>
      <c r="H16" s="1"/>
      <c r="I16" s="1"/>
    </row>
    <row r="17" spans="1:9" ht="15" hidden="1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1"/>
      <c r="G17" s="1"/>
      <c r="H17" s="1"/>
      <c r="I17" s="1"/>
    </row>
    <row r="18" spans="1:9" ht="15" hidden="1">
      <c r="A18" s="38" t="s">
        <v>13</v>
      </c>
      <c r="B18" s="28" t="s">
        <v>14</v>
      </c>
      <c r="C18" s="28"/>
      <c r="D18" s="28"/>
      <c r="E18" s="29"/>
      <c r="F18" s="1"/>
      <c r="G18" s="1"/>
      <c r="H18" s="1"/>
      <c r="I18" s="163"/>
    </row>
    <row r="19" spans="1:9" ht="17.25" hidden="1">
      <c r="A19" s="38" t="s">
        <v>15</v>
      </c>
      <c r="B19" s="141" t="s">
        <v>183</v>
      </c>
      <c r="C19" s="11" t="s">
        <v>59</v>
      </c>
      <c r="D19" s="143" t="s">
        <v>179</v>
      </c>
      <c r="E19" s="241">
        <f>E20+E21</f>
        <v>21.342946656863752</v>
      </c>
      <c r="F19" s="1"/>
      <c r="G19" s="1"/>
      <c r="H19" s="1"/>
      <c r="I19" s="1"/>
    </row>
    <row r="20" spans="1:9" ht="18.75" hidden="1">
      <c r="A20" s="27" t="s">
        <v>16</v>
      </c>
      <c r="B20" s="26" t="s">
        <v>18</v>
      </c>
      <c r="C20" s="13" t="s">
        <v>59</v>
      </c>
      <c r="D20" s="130" t="s">
        <v>171</v>
      </c>
      <c r="E20" s="4">
        <v>4.57</v>
      </c>
      <c r="F20" s="1"/>
      <c r="G20" s="1"/>
      <c r="H20" s="1"/>
      <c r="I20" s="1"/>
    </row>
    <row r="21" spans="1:9" ht="33" hidden="1">
      <c r="A21" s="39" t="s">
        <v>17</v>
      </c>
      <c r="B21" s="158" t="s">
        <v>19</v>
      </c>
      <c r="C21" s="30" t="s">
        <v>59</v>
      </c>
      <c r="D21" s="31" t="s">
        <v>20</v>
      </c>
      <c r="E21" s="243">
        <f>0.28+((4325*E26+((226+106.1)*E30)+509*E34)/(44.84*1000))/10</f>
        <v>16.772946656863752</v>
      </c>
      <c r="F21" s="1"/>
      <c r="G21" s="1"/>
      <c r="H21" s="1"/>
      <c r="I21" s="1"/>
    </row>
    <row r="22" spans="1:9" ht="15" hidden="1">
      <c r="A22" s="27" t="s">
        <v>21</v>
      </c>
      <c r="B22" s="33" t="s">
        <v>22</v>
      </c>
      <c r="C22" s="34"/>
      <c r="D22" s="37"/>
      <c r="E22" s="35"/>
      <c r="F22" s="1"/>
      <c r="G22" s="1"/>
      <c r="H22" s="1"/>
      <c r="I22" s="1"/>
    </row>
    <row r="23" spans="1:9" ht="15" hidden="1">
      <c r="A23" s="53" t="s">
        <v>23</v>
      </c>
      <c r="B23" s="54" t="s">
        <v>24</v>
      </c>
      <c r="C23" s="55"/>
      <c r="D23" s="55"/>
      <c r="E23" s="56"/>
      <c r="F23" s="1"/>
      <c r="G23" s="1"/>
      <c r="H23" s="1"/>
      <c r="I23" s="1"/>
    </row>
    <row r="24" spans="1:9" ht="15" hidden="1">
      <c r="A24" s="27" t="s">
        <v>25</v>
      </c>
      <c r="B24" s="26" t="s">
        <v>26</v>
      </c>
      <c r="C24" s="36" t="s">
        <v>41</v>
      </c>
      <c r="D24" s="26"/>
      <c r="E24" s="26"/>
      <c r="F24" s="1"/>
      <c r="G24" s="1"/>
      <c r="H24" s="1"/>
      <c r="I24" s="1"/>
    </row>
    <row r="25" spans="1:9" ht="15" hidden="1">
      <c r="A25" s="27" t="s">
        <v>27</v>
      </c>
      <c r="B25" s="26" t="s">
        <v>28</v>
      </c>
      <c r="C25" s="7" t="s">
        <v>41</v>
      </c>
      <c r="D25" s="26"/>
      <c r="E25" s="26"/>
      <c r="F25" s="1"/>
      <c r="G25" s="1"/>
      <c r="H25" s="1"/>
      <c r="I25" s="1"/>
    </row>
    <row r="26" spans="1:9" ht="15" hidden="1">
      <c r="A26" s="27" t="s">
        <v>29</v>
      </c>
      <c r="B26" s="42" t="s">
        <v>30</v>
      </c>
      <c r="C26" s="43" t="s">
        <v>41</v>
      </c>
      <c r="D26" s="26"/>
      <c r="E26" s="26">
        <f>1278.41+37.53+275.02</f>
        <v>1590.96</v>
      </c>
      <c r="F26" s="1"/>
      <c r="G26" s="1"/>
      <c r="H26" s="1"/>
      <c r="I26" s="1"/>
    </row>
    <row r="27" spans="1:9" ht="15" hidden="1">
      <c r="A27" s="40" t="s">
        <v>31</v>
      </c>
      <c r="B27" s="45" t="s">
        <v>32</v>
      </c>
      <c r="C27" s="46"/>
      <c r="D27" s="46"/>
      <c r="E27" s="47"/>
      <c r="F27" s="1"/>
      <c r="G27" s="1"/>
      <c r="H27" s="1"/>
      <c r="I27" s="1"/>
    </row>
    <row r="28" spans="1:9" ht="15" hidden="1">
      <c r="A28" s="27" t="s">
        <v>35</v>
      </c>
      <c r="B28" s="26" t="s">
        <v>26</v>
      </c>
      <c r="C28" s="44" t="s">
        <v>33</v>
      </c>
      <c r="D28" s="26"/>
      <c r="E28" s="26"/>
      <c r="F28" s="1"/>
      <c r="G28" s="1"/>
      <c r="H28" s="1"/>
      <c r="I28" s="1"/>
    </row>
    <row r="29" spans="1:9" ht="15" hidden="1">
      <c r="A29" s="27" t="s">
        <v>36</v>
      </c>
      <c r="B29" s="26" t="s">
        <v>28</v>
      </c>
      <c r="C29" s="6" t="s">
        <v>33</v>
      </c>
      <c r="D29" s="26"/>
      <c r="E29" s="26"/>
      <c r="F29" s="1"/>
      <c r="G29" s="1"/>
      <c r="H29" s="1"/>
      <c r="I29" s="1"/>
    </row>
    <row r="30" spans="1:9" ht="15" hidden="1">
      <c r="A30" s="27" t="s">
        <v>37</v>
      </c>
      <c r="B30" s="26" t="s">
        <v>30</v>
      </c>
      <c r="C30" s="48" t="s">
        <v>33</v>
      </c>
      <c r="D30" s="26"/>
      <c r="E30" s="242">
        <f>Lapas3!D48</f>
        <v>362.08554934569713</v>
      </c>
      <c r="F30" s="1"/>
      <c r="G30" s="1"/>
      <c r="H30" s="1"/>
      <c r="I30" s="1"/>
    </row>
    <row r="31" spans="1:9" ht="15" hidden="1">
      <c r="A31" s="41" t="s">
        <v>34</v>
      </c>
      <c r="B31" s="50" t="s">
        <v>103</v>
      </c>
      <c r="C31" s="51"/>
      <c r="D31" s="51"/>
      <c r="E31" s="52"/>
      <c r="F31" s="1"/>
      <c r="G31" s="1"/>
      <c r="H31" s="1"/>
      <c r="I31" s="1"/>
    </row>
    <row r="32" spans="1:9" ht="15" hidden="1">
      <c r="A32" s="32" t="s">
        <v>38</v>
      </c>
      <c r="B32" s="49" t="s">
        <v>26</v>
      </c>
      <c r="C32" s="44" t="s">
        <v>33</v>
      </c>
      <c r="D32" s="26"/>
      <c r="E32" s="26"/>
      <c r="F32" s="1"/>
      <c r="G32" s="1"/>
      <c r="H32" s="1"/>
      <c r="I32" s="1"/>
    </row>
    <row r="33" spans="1:9" ht="15" hidden="1">
      <c r="A33" s="32" t="s">
        <v>39</v>
      </c>
      <c r="B33" s="26" t="s">
        <v>28</v>
      </c>
      <c r="C33" s="6" t="s">
        <v>33</v>
      </c>
      <c r="D33" s="26"/>
      <c r="E33" s="26"/>
      <c r="F33" s="1"/>
      <c r="G33" s="1"/>
      <c r="H33" s="1"/>
      <c r="I33" s="1"/>
    </row>
    <row r="34" spans="1:9" ht="15" hidden="1">
      <c r="A34" s="23" t="s">
        <v>40</v>
      </c>
      <c r="B34" s="42" t="s">
        <v>30</v>
      </c>
      <c r="C34" s="48" t="s">
        <v>33</v>
      </c>
      <c r="D34" s="26"/>
      <c r="E34" s="26">
        <v>774.63</v>
      </c>
      <c r="F34" s="1"/>
      <c r="G34" s="1"/>
      <c r="H34" s="1"/>
      <c r="I34" s="1"/>
    </row>
    <row r="35" spans="1:9" s="9" customFormat="1" ht="15" hidden="1">
      <c r="A35" s="57" t="s">
        <v>42</v>
      </c>
      <c r="B35" s="58" t="s">
        <v>43</v>
      </c>
      <c r="C35" s="59"/>
      <c r="D35" s="59"/>
      <c r="E35" s="60"/>
      <c r="F35" s="8"/>
      <c r="G35" s="8"/>
      <c r="H35" s="8"/>
      <c r="I35" s="8"/>
    </row>
    <row r="36" spans="1:9" ht="15" hidden="1">
      <c r="A36" s="26" t="s">
        <v>44</v>
      </c>
      <c r="B36" s="26" t="s">
        <v>104</v>
      </c>
      <c r="C36" s="26"/>
      <c r="D36" s="26"/>
      <c r="E36" s="27" t="s">
        <v>106</v>
      </c>
      <c r="F36" s="1"/>
      <c r="G36" s="1"/>
      <c r="H36" s="1"/>
      <c r="I36" s="1"/>
    </row>
    <row r="37" spans="1:9" ht="15" hidden="1">
      <c r="A37" s="26" t="s">
        <v>45</v>
      </c>
      <c r="B37" s="26" t="s">
        <v>105</v>
      </c>
      <c r="C37" s="13" t="s">
        <v>59</v>
      </c>
      <c r="D37" s="26"/>
      <c r="E37" s="26">
        <v>0</v>
      </c>
      <c r="F37" s="1"/>
      <c r="G37" s="1"/>
      <c r="H37" s="1"/>
      <c r="I37" s="1"/>
    </row>
    <row r="38" spans="1:9" s="147" customFormat="1" ht="17.25" hidden="1">
      <c r="A38" s="144" t="s">
        <v>46</v>
      </c>
      <c r="B38" s="144" t="s">
        <v>172</v>
      </c>
      <c r="C38" s="148" t="s">
        <v>59</v>
      </c>
      <c r="D38" s="149" t="s">
        <v>181</v>
      </c>
      <c r="E38" s="145"/>
      <c r="F38" s="146"/>
      <c r="G38" s="146"/>
      <c r="H38" s="146"/>
      <c r="I38" s="146"/>
    </row>
    <row r="39" spans="1:9" ht="18.75" hidden="1">
      <c r="A39" s="26" t="s">
        <v>48</v>
      </c>
      <c r="B39" s="26" t="s">
        <v>49</v>
      </c>
      <c r="C39" s="61" t="s">
        <v>59</v>
      </c>
      <c r="D39" s="130" t="s">
        <v>173</v>
      </c>
      <c r="E39" s="242">
        <f>E20</f>
        <v>4.57</v>
      </c>
      <c r="F39" s="1"/>
      <c r="G39" s="1"/>
      <c r="H39" s="1"/>
      <c r="I39" s="1"/>
    </row>
    <row r="40" spans="1:9" ht="33" hidden="1">
      <c r="A40" s="39" t="s">
        <v>50</v>
      </c>
      <c r="B40" s="39" t="s">
        <v>51</v>
      </c>
      <c r="C40" s="30" t="s">
        <v>59</v>
      </c>
      <c r="D40" s="62" t="s">
        <v>20</v>
      </c>
      <c r="E40" s="244">
        <f>E21</f>
        <v>16.772946656863752</v>
      </c>
      <c r="F40" s="1"/>
      <c r="G40" s="1"/>
      <c r="H40" s="1"/>
      <c r="I40" s="1"/>
    </row>
    <row r="41" spans="1:9" ht="15" hidden="1">
      <c r="A41" s="26" t="s">
        <v>52</v>
      </c>
      <c r="B41" s="63" t="s">
        <v>53</v>
      </c>
      <c r="C41" s="37"/>
      <c r="D41" s="37"/>
      <c r="E41" s="35"/>
      <c r="F41" s="1"/>
      <c r="G41" s="1"/>
      <c r="H41" s="1"/>
      <c r="I41" s="1"/>
    </row>
    <row r="42" spans="1:9" ht="15" hidden="1">
      <c r="A42" s="26" t="s">
        <v>54</v>
      </c>
      <c r="B42" s="26" t="s">
        <v>55</v>
      </c>
      <c r="C42" s="13" t="s">
        <v>56</v>
      </c>
      <c r="D42" s="26"/>
      <c r="E42" s="26">
        <v>33.57</v>
      </c>
      <c r="F42" s="1"/>
      <c r="G42" s="1"/>
      <c r="H42" s="1"/>
      <c r="I42" s="1"/>
    </row>
    <row r="43" spans="1:9" ht="15" hidden="1">
      <c r="A43" s="26" t="s">
        <v>57</v>
      </c>
      <c r="B43" s="26" t="s">
        <v>58</v>
      </c>
      <c r="C43" s="13" t="s">
        <v>59</v>
      </c>
      <c r="D43" s="64" t="s">
        <v>47</v>
      </c>
      <c r="E43" s="26"/>
      <c r="F43" s="1"/>
      <c r="G43" s="1"/>
      <c r="H43" s="1"/>
      <c r="I43" s="1"/>
    </row>
    <row r="44" spans="1:9" ht="15" hidden="1">
      <c r="A44" s="38" t="s">
        <v>60</v>
      </c>
      <c r="B44" s="459" t="s">
        <v>61</v>
      </c>
      <c r="C44" s="460"/>
      <c r="D44" s="460"/>
      <c r="E44" s="461"/>
      <c r="F44" s="1"/>
      <c r="G44" s="1"/>
      <c r="H44" s="1"/>
      <c r="I44" s="1"/>
    </row>
    <row r="45" spans="1:9" s="10" customFormat="1" ht="17.25" hidden="1">
      <c r="A45" s="14" t="s">
        <v>62</v>
      </c>
      <c r="B45" s="18" t="s">
        <v>182</v>
      </c>
      <c r="C45" s="11" t="s">
        <v>59</v>
      </c>
      <c r="D45" s="149" t="s">
        <v>180</v>
      </c>
      <c r="E45" s="241">
        <f>E46+E47</f>
        <v>6.8896524945663185</v>
      </c>
      <c r="F45" s="2"/>
      <c r="G45" s="2"/>
      <c r="H45" s="2"/>
      <c r="I45" s="2"/>
    </row>
    <row r="46" spans="1:9" ht="18.75" hidden="1">
      <c r="A46" s="15" t="s">
        <v>63</v>
      </c>
      <c r="B46" s="16" t="s">
        <v>64</v>
      </c>
      <c r="C46" s="13" t="s">
        <v>59</v>
      </c>
      <c r="D46" s="130" t="s">
        <v>174</v>
      </c>
      <c r="E46" s="26">
        <v>2.39</v>
      </c>
      <c r="F46" s="1"/>
      <c r="G46" s="1"/>
      <c r="H46" s="1"/>
      <c r="I46" s="1"/>
    </row>
    <row r="47" spans="1:9" ht="18.75" hidden="1">
      <c r="A47" s="15" t="s">
        <v>65</v>
      </c>
      <c r="B47" s="17" t="s">
        <v>66</v>
      </c>
      <c r="C47" s="22"/>
      <c r="D47" s="142" t="s">
        <v>175</v>
      </c>
      <c r="E47" s="242">
        <f>0.39+(7.24*E19/37.6)</f>
        <v>4.499652494566318</v>
      </c>
      <c r="F47" s="1"/>
      <c r="G47" s="1"/>
      <c r="H47" s="1"/>
      <c r="I47" s="1"/>
    </row>
    <row r="48" spans="1:9" ht="15" hidden="1">
      <c r="A48" s="14" t="s">
        <v>67</v>
      </c>
      <c r="B48" s="18" t="s">
        <v>68</v>
      </c>
      <c r="C48" s="11"/>
      <c r="D48" s="26"/>
      <c r="E48" s="26"/>
      <c r="F48" s="1"/>
      <c r="G48" s="1"/>
      <c r="H48" s="1"/>
      <c r="I48" s="1"/>
    </row>
    <row r="49" spans="1:9" ht="15" hidden="1">
      <c r="A49" s="14" t="s">
        <v>69</v>
      </c>
      <c r="B49" s="19" t="s">
        <v>55</v>
      </c>
      <c r="C49" s="12" t="s">
        <v>56</v>
      </c>
      <c r="D49" s="26"/>
      <c r="E49" s="26"/>
      <c r="F49" s="1"/>
      <c r="G49" s="1"/>
      <c r="H49" s="1"/>
      <c r="I49" s="1"/>
    </row>
    <row r="50" spans="1:9" ht="18.75" hidden="1">
      <c r="A50" s="14" t="s">
        <v>70</v>
      </c>
      <c r="B50" s="19" t="s">
        <v>71</v>
      </c>
      <c r="C50" s="13" t="s">
        <v>59</v>
      </c>
      <c r="D50" s="130" t="s">
        <v>176</v>
      </c>
      <c r="E50" s="26"/>
      <c r="F50" s="1"/>
      <c r="G50" s="1"/>
      <c r="H50" s="1"/>
      <c r="I50" s="1"/>
    </row>
    <row r="51" spans="1:5" ht="15" hidden="1">
      <c r="A51" s="134" t="s">
        <v>72</v>
      </c>
      <c r="B51" s="454" t="s">
        <v>73</v>
      </c>
      <c r="C51" s="455"/>
      <c r="D51" s="455"/>
      <c r="E51" s="456"/>
    </row>
    <row r="52" spans="1:5" ht="15" hidden="1">
      <c r="A52" s="462" t="s">
        <v>79</v>
      </c>
      <c r="B52" s="20" t="s">
        <v>74</v>
      </c>
      <c r="C52" s="13" t="s">
        <v>59</v>
      </c>
      <c r="D52" s="132" t="s">
        <v>106</v>
      </c>
      <c r="E52" s="70">
        <v>0.31</v>
      </c>
    </row>
    <row r="53" spans="1:5" ht="15" hidden="1">
      <c r="A53" s="463"/>
      <c r="B53" s="21" t="s">
        <v>75</v>
      </c>
      <c r="C53" s="61" t="s">
        <v>76</v>
      </c>
      <c r="D53" s="132" t="s">
        <v>106</v>
      </c>
      <c r="E53" s="70">
        <v>2.32</v>
      </c>
    </row>
    <row r="54" spans="1:5" ht="15.75" hidden="1" thickBot="1">
      <c r="A54" s="463"/>
      <c r="B54" s="21" t="s">
        <v>77</v>
      </c>
      <c r="C54" s="131" t="s">
        <v>78</v>
      </c>
      <c r="D54" s="132" t="s">
        <v>106</v>
      </c>
      <c r="E54" s="70">
        <v>46.02</v>
      </c>
    </row>
    <row r="55" spans="1:5" ht="15" hidden="1">
      <c r="A55" s="134" t="s">
        <v>80</v>
      </c>
      <c r="B55" s="135" t="s">
        <v>81</v>
      </c>
      <c r="C55" s="13" t="s">
        <v>59</v>
      </c>
      <c r="D55" s="70"/>
      <c r="E55" s="70">
        <v>0.12</v>
      </c>
    </row>
    <row r="56" spans="1:5" ht="15" hidden="1">
      <c r="A56" s="134" t="s">
        <v>82</v>
      </c>
      <c r="B56" s="135" t="s">
        <v>83</v>
      </c>
      <c r="C56" s="13" t="s">
        <v>59</v>
      </c>
      <c r="D56" s="70"/>
      <c r="E56" s="70">
        <v>-0.27</v>
      </c>
    </row>
    <row r="57" spans="1:5" ht="15" hidden="1">
      <c r="A57" s="134" t="s">
        <v>84</v>
      </c>
      <c r="B57" s="135" t="s">
        <v>177</v>
      </c>
      <c r="C57" s="13" t="s">
        <v>59</v>
      </c>
      <c r="D57" s="70"/>
      <c r="E57" s="245">
        <f>E19+E45+E52+E55+E56</f>
        <v>28.392599151430073</v>
      </c>
    </row>
    <row r="58" spans="1:5" ht="15" hidden="1">
      <c r="A58" s="134" t="s">
        <v>85</v>
      </c>
      <c r="B58" s="135" t="s">
        <v>86</v>
      </c>
      <c r="C58" s="13" t="s">
        <v>59</v>
      </c>
      <c r="D58" s="70"/>
      <c r="E58" s="70">
        <v>0</v>
      </c>
    </row>
    <row r="59" spans="1:5" ht="15" hidden="1">
      <c r="A59" s="134" t="s">
        <v>87</v>
      </c>
      <c r="B59" s="135" t="s">
        <v>88</v>
      </c>
      <c r="C59" s="11" t="s">
        <v>59</v>
      </c>
      <c r="D59" s="137"/>
      <c r="E59" s="246">
        <f>E57</f>
        <v>28.392599151430073</v>
      </c>
    </row>
    <row r="60" spans="1:5" ht="15" hidden="1">
      <c r="A60" s="134" t="s">
        <v>89</v>
      </c>
      <c r="B60" s="135" t="s">
        <v>90</v>
      </c>
      <c r="C60" s="11" t="s">
        <v>59</v>
      </c>
      <c r="D60" s="137"/>
      <c r="E60" s="246">
        <f>E59*1.09</f>
        <v>30.94793307505878</v>
      </c>
    </row>
    <row r="61" spans="1:5" ht="15" hidden="1">
      <c r="A61" s="134" t="s">
        <v>91</v>
      </c>
      <c r="B61" s="135" t="s">
        <v>92</v>
      </c>
      <c r="C61" s="11" t="s">
        <v>59</v>
      </c>
      <c r="D61" s="137"/>
      <c r="E61" s="137"/>
    </row>
    <row r="62" spans="1:5" ht="15" hidden="1">
      <c r="A62" s="134" t="s">
        <v>93</v>
      </c>
      <c r="B62" s="135" t="s">
        <v>94</v>
      </c>
      <c r="C62" s="134" t="s">
        <v>95</v>
      </c>
      <c r="D62" s="137"/>
      <c r="E62" s="137"/>
    </row>
    <row r="63" spans="1:5" ht="15" hidden="1">
      <c r="A63" s="134" t="s">
        <v>96</v>
      </c>
      <c r="B63" s="136" t="s">
        <v>97</v>
      </c>
      <c r="C63" s="138" t="s">
        <v>98</v>
      </c>
      <c r="D63" s="139"/>
      <c r="E63" s="70"/>
    </row>
    <row r="64" spans="1:5" ht="15" hidden="1">
      <c r="A64" s="134" t="s">
        <v>99</v>
      </c>
      <c r="B64" s="136" t="s">
        <v>100</v>
      </c>
      <c r="C64" s="133" t="s">
        <v>98</v>
      </c>
      <c r="D64" s="70"/>
      <c r="E64" s="70"/>
    </row>
    <row r="65" spans="1:5" ht="15.75" hidden="1" thickBot="1">
      <c r="A65" s="24" t="s">
        <v>101</v>
      </c>
      <c r="B65" s="25" t="s">
        <v>102</v>
      </c>
      <c r="C65" s="133" t="s">
        <v>98</v>
      </c>
      <c r="D65" s="70"/>
      <c r="E65" s="70">
        <v>0</v>
      </c>
    </row>
    <row r="66" ht="15" hidden="1"/>
    <row r="67" ht="15" hidden="1"/>
    <row r="68" ht="15" hidden="1"/>
    <row r="69" ht="15" hidden="1"/>
    <row r="70" spans="2:4" ht="15" hidden="1">
      <c r="B70" t="s">
        <v>189</v>
      </c>
      <c r="C70" t="s">
        <v>193</v>
      </c>
      <c r="D70" s="155" t="s">
        <v>190</v>
      </c>
    </row>
    <row r="71" ht="15" hidden="1">
      <c r="C71" s="162" t="s">
        <v>194</v>
      </c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spans="1:5" ht="15" hidden="1">
      <c r="A92" s="140" t="s">
        <v>0</v>
      </c>
      <c r="B92" s="140"/>
      <c r="C92" s="140"/>
      <c r="D92" s="140"/>
      <c r="E92" s="140" t="s">
        <v>107</v>
      </c>
    </row>
    <row r="93" spans="1:5" ht="15" hidden="1">
      <c r="A93" s="140" t="s">
        <v>1</v>
      </c>
      <c r="B93" s="140"/>
      <c r="C93" s="140"/>
      <c r="D93" s="140" t="s">
        <v>178</v>
      </c>
      <c r="E93" s="3"/>
    </row>
    <row r="94" spans="1:5" ht="15" hidden="1">
      <c r="A94" s="140" t="s">
        <v>2</v>
      </c>
      <c r="B94" s="140"/>
      <c r="C94" s="140"/>
      <c r="D94" s="140" t="s">
        <v>167</v>
      </c>
      <c r="E94" s="5"/>
    </row>
    <row r="95" spans="1:5" ht="15" hidden="1">
      <c r="A95" s="140" t="s">
        <v>3</v>
      </c>
      <c r="B95" s="140"/>
      <c r="C95" s="140"/>
      <c r="D95" s="140" t="s">
        <v>168</v>
      </c>
      <c r="E95" s="3"/>
    </row>
    <row r="96" spans="1:5" ht="15" hidden="1">
      <c r="A96" s="140" t="s">
        <v>4</v>
      </c>
      <c r="B96" s="140"/>
      <c r="C96" s="140"/>
      <c r="D96" s="140" t="s">
        <v>169</v>
      </c>
      <c r="E96" s="3"/>
    </row>
    <row r="97" spans="1:5" ht="15" hidden="1">
      <c r="A97" s="161" t="s">
        <v>192</v>
      </c>
      <c r="B97" s="140"/>
      <c r="C97" s="140"/>
      <c r="D97" s="140"/>
      <c r="E97" s="3"/>
    </row>
    <row r="98" spans="1:5" ht="15" hidden="1">
      <c r="A98" s="140" t="s">
        <v>5</v>
      </c>
      <c r="B98" s="140"/>
      <c r="C98" s="140"/>
      <c r="D98" s="140" t="s">
        <v>170</v>
      </c>
      <c r="E98" s="3"/>
    </row>
    <row r="99" spans="1:5" ht="15" hidden="1">
      <c r="A99" s="1"/>
      <c r="B99" s="1"/>
      <c r="C99" s="1"/>
      <c r="D99" s="1"/>
      <c r="E99" s="1"/>
    </row>
    <row r="100" spans="1:4" ht="15.75" hidden="1">
      <c r="A100" s="150"/>
      <c r="B100" s="150" t="s">
        <v>230</v>
      </c>
      <c r="C100" s="2"/>
      <c r="D100" s="2"/>
    </row>
    <row r="101" spans="1:4" ht="15.75" hidden="1">
      <c r="A101" s="150"/>
      <c r="B101" s="150"/>
      <c r="C101" s="159">
        <v>41506</v>
      </c>
      <c r="D101" s="2"/>
    </row>
    <row r="102" spans="1:4" ht="15.75" hidden="1">
      <c r="A102" s="150"/>
      <c r="B102" s="150"/>
      <c r="C102" s="160" t="s">
        <v>191</v>
      </c>
      <c r="D102" s="2"/>
    </row>
    <row r="103" spans="1:5" ht="15" hidden="1">
      <c r="A103" s="2" t="s">
        <v>6</v>
      </c>
      <c r="B103" s="2"/>
      <c r="C103" s="2"/>
      <c r="D103" s="2"/>
      <c r="E103" s="2"/>
    </row>
    <row r="104" spans="1:5" ht="15" hidden="1">
      <c r="A104" s="1" t="s">
        <v>195</v>
      </c>
      <c r="B104" s="1"/>
      <c r="C104" s="1"/>
      <c r="D104" s="1"/>
      <c r="E104" s="1"/>
    </row>
    <row r="105" spans="1:5" ht="15" hidden="1">
      <c r="A105" s="1" t="s">
        <v>7</v>
      </c>
      <c r="B105" s="1"/>
      <c r="C105" s="1"/>
      <c r="D105" s="1"/>
      <c r="E105" s="1"/>
    </row>
    <row r="106" spans="1:5" ht="15" hidden="1">
      <c r="A106" s="1"/>
      <c r="B106" s="1"/>
      <c r="C106" s="1"/>
      <c r="D106" s="1"/>
      <c r="E106" s="1"/>
    </row>
    <row r="107" spans="1:5" ht="15" hidden="1">
      <c r="A107" s="27" t="s">
        <v>8</v>
      </c>
      <c r="B107" s="27" t="s">
        <v>9</v>
      </c>
      <c r="C107" s="27" t="s">
        <v>10</v>
      </c>
      <c r="D107" s="27" t="s">
        <v>11</v>
      </c>
      <c r="E107" s="27" t="s">
        <v>12</v>
      </c>
    </row>
    <row r="108" spans="1:5" ht="15" hidden="1">
      <c r="A108" s="26">
        <v>1</v>
      </c>
      <c r="B108" s="26">
        <v>2</v>
      </c>
      <c r="C108" s="26">
        <v>3</v>
      </c>
      <c r="D108" s="26">
        <v>4</v>
      </c>
      <c r="E108" s="26">
        <v>5</v>
      </c>
    </row>
    <row r="109" spans="1:5" ht="15" hidden="1">
      <c r="A109" s="38" t="s">
        <v>13</v>
      </c>
      <c r="B109" s="28" t="s">
        <v>14</v>
      </c>
      <c r="C109" s="28"/>
      <c r="D109" s="28"/>
      <c r="E109" s="29"/>
    </row>
    <row r="110" spans="1:5" ht="17.25" hidden="1">
      <c r="A110" s="38" t="s">
        <v>15</v>
      </c>
      <c r="B110" s="141" t="s">
        <v>183</v>
      </c>
      <c r="C110" s="11" t="s">
        <v>59</v>
      </c>
      <c r="D110" s="143" t="s">
        <v>179</v>
      </c>
      <c r="E110" s="241">
        <f>E111+E112</f>
        <v>21.296519095838562</v>
      </c>
    </row>
    <row r="111" spans="1:5" ht="18.75" hidden="1">
      <c r="A111" s="27" t="s">
        <v>16</v>
      </c>
      <c r="B111" s="26" t="s">
        <v>18</v>
      </c>
      <c r="C111" s="13" t="s">
        <v>59</v>
      </c>
      <c r="D111" s="130" t="s">
        <v>171</v>
      </c>
      <c r="E111" s="4">
        <v>4.57</v>
      </c>
    </row>
    <row r="112" spans="1:5" ht="33" hidden="1">
      <c r="A112" s="39" t="s">
        <v>17</v>
      </c>
      <c r="B112" s="158" t="s">
        <v>19</v>
      </c>
      <c r="C112" s="30" t="s">
        <v>59</v>
      </c>
      <c r="D112" s="31" t="s">
        <v>20</v>
      </c>
      <c r="E112" s="243">
        <f>0.28+((4325*E117+((226+106.1)*E121)+509*E125)/(44.84*1000))/10</f>
        <v>16.72651909583856</v>
      </c>
    </row>
    <row r="113" spans="1:5" ht="15" hidden="1">
      <c r="A113" s="27" t="s">
        <v>21</v>
      </c>
      <c r="B113" s="33" t="s">
        <v>22</v>
      </c>
      <c r="C113" s="34"/>
      <c r="D113" s="37"/>
      <c r="E113" s="35"/>
    </row>
    <row r="114" spans="1:5" ht="15" hidden="1">
      <c r="A114" s="53" t="s">
        <v>23</v>
      </c>
      <c r="B114" s="54" t="s">
        <v>24</v>
      </c>
      <c r="C114" s="55"/>
      <c r="D114" s="55"/>
      <c r="E114" s="56"/>
    </row>
    <row r="115" spans="1:5" ht="15" hidden="1">
      <c r="A115" s="27" t="s">
        <v>25</v>
      </c>
      <c r="B115" s="26" t="s">
        <v>26</v>
      </c>
      <c r="C115" s="36" t="s">
        <v>41</v>
      </c>
      <c r="D115" s="26"/>
      <c r="E115" s="26"/>
    </row>
    <row r="116" spans="1:5" ht="15" hidden="1">
      <c r="A116" s="27" t="s">
        <v>27</v>
      </c>
      <c r="B116" s="26" t="s">
        <v>28</v>
      </c>
      <c r="C116" s="7" t="s">
        <v>41</v>
      </c>
      <c r="D116" s="26"/>
      <c r="E116" s="26"/>
    </row>
    <row r="117" spans="1:5" ht="15" hidden="1">
      <c r="A117" s="27" t="s">
        <v>29</v>
      </c>
      <c r="B117" s="42" t="s">
        <v>30</v>
      </c>
      <c r="C117" s="43" t="s">
        <v>41</v>
      </c>
      <c r="D117" s="26"/>
      <c r="E117" s="242">
        <f>Lapas3!D72+37.53+275.02</f>
        <v>1588.8113888888888</v>
      </c>
    </row>
    <row r="118" spans="1:5" ht="15" hidden="1">
      <c r="A118" s="40" t="s">
        <v>31</v>
      </c>
      <c r="B118" s="45" t="s">
        <v>32</v>
      </c>
      <c r="C118" s="46"/>
      <c r="D118" s="46"/>
      <c r="E118" s="47"/>
    </row>
    <row r="119" spans="1:5" ht="15" hidden="1">
      <c r="A119" s="27" t="s">
        <v>35</v>
      </c>
      <c r="B119" s="26" t="s">
        <v>26</v>
      </c>
      <c r="C119" s="44" t="s">
        <v>33</v>
      </c>
      <c r="D119" s="26"/>
      <c r="E119" s="26"/>
    </row>
    <row r="120" spans="1:5" ht="15" hidden="1">
      <c r="A120" s="27" t="s">
        <v>36</v>
      </c>
      <c r="B120" s="26" t="s">
        <v>28</v>
      </c>
      <c r="C120" s="6" t="s">
        <v>33</v>
      </c>
      <c r="D120" s="26"/>
      <c r="E120" s="26"/>
    </row>
    <row r="121" spans="1:5" ht="15" hidden="1">
      <c r="A121" s="27" t="s">
        <v>37</v>
      </c>
      <c r="B121" s="26" t="s">
        <v>30</v>
      </c>
      <c r="C121" s="48" t="s">
        <v>33</v>
      </c>
      <c r="D121" s="26"/>
      <c r="E121" s="242">
        <f>Lapas3!D108</f>
        <v>327.3810166503062</v>
      </c>
    </row>
    <row r="122" spans="1:5" ht="15" hidden="1">
      <c r="A122" s="41" t="s">
        <v>34</v>
      </c>
      <c r="B122" s="50" t="s">
        <v>103</v>
      </c>
      <c r="C122" s="51"/>
      <c r="D122" s="51"/>
      <c r="E122" s="52"/>
    </row>
    <row r="123" spans="1:5" ht="15" hidden="1">
      <c r="A123" s="32" t="s">
        <v>38</v>
      </c>
      <c r="B123" s="49" t="s">
        <v>26</v>
      </c>
      <c r="C123" s="44" t="s">
        <v>33</v>
      </c>
      <c r="D123" s="26"/>
      <c r="E123" s="26"/>
    </row>
    <row r="124" spans="1:5" ht="15" hidden="1">
      <c r="A124" s="32" t="s">
        <v>39</v>
      </c>
      <c r="B124" s="26" t="s">
        <v>28</v>
      </c>
      <c r="C124" s="6" t="s">
        <v>33</v>
      </c>
      <c r="D124" s="26"/>
      <c r="E124" s="26"/>
    </row>
    <row r="125" spans="1:5" ht="15" hidden="1">
      <c r="A125" s="23" t="s">
        <v>40</v>
      </c>
      <c r="B125" s="42" t="s">
        <v>30</v>
      </c>
      <c r="C125" s="48" t="s">
        <v>33</v>
      </c>
      <c r="D125" s="26"/>
      <c r="E125" s="26">
        <v>774.63</v>
      </c>
    </row>
    <row r="126" spans="1:5" ht="15" hidden="1">
      <c r="A126" s="57" t="s">
        <v>42</v>
      </c>
      <c r="B126" s="58" t="s">
        <v>43</v>
      </c>
      <c r="C126" s="59"/>
      <c r="D126" s="59"/>
      <c r="E126" s="60"/>
    </row>
    <row r="127" spans="1:5" ht="15" hidden="1">
      <c r="A127" s="26" t="s">
        <v>44</v>
      </c>
      <c r="B127" s="26" t="s">
        <v>104</v>
      </c>
      <c r="C127" s="26"/>
      <c r="D127" s="26"/>
      <c r="E127" s="27" t="s">
        <v>106</v>
      </c>
    </row>
    <row r="128" spans="1:5" ht="15" hidden="1">
      <c r="A128" s="26" t="s">
        <v>45</v>
      </c>
      <c r="B128" s="26" t="s">
        <v>105</v>
      </c>
      <c r="C128" s="13" t="s">
        <v>59</v>
      </c>
      <c r="D128" s="26"/>
      <c r="E128" s="26">
        <v>0</v>
      </c>
    </row>
    <row r="129" spans="1:5" ht="17.25" hidden="1">
      <c r="A129" s="144" t="s">
        <v>46</v>
      </c>
      <c r="B129" s="144" t="s">
        <v>172</v>
      </c>
      <c r="C129" s="148" t="s">
        <v>59</v>
      </c>
      <c r="D129" s="149" t="s">
        <v>181</v>
      </c>
      <c r="E129" s="145"/>
    </row>
    <row r="130" spans="1:5" ht="18.75" hidden="1">
      <c r="A130" s="26" t="s">
        <v>48</v>
      </c>
      <c r="B130" s="26" t="s">
        <v>49</v>
      </c>
      <c r="C130" s="61" t="s">
        <v>59</v>
      </c>
      <c r="D130" s="130" t="s">
        <v>173</v>
      </c>
      <c r="E130" s="242">
        <f>E111</f>
        <v>4.57</v>
      </c>
    </row>
    <row r="131" spans="1:5" ht="33" hidden="1">
      <c r="A131" s="39" t="s">
        <v>50</v>
      </c>
      <c r="B131" s="39" t="s">
        <v>51</v>
      </c>
      <c r="C131" s="30" t="s">
        <v>59</v>
      </c>
      <c r="D131" s="62" t="s">
        <v>20</v>
      </c>
      <c r="E131" s="244">
        <f>E112</f>
        <v>16.72651909583856</v>
      </c>
    </row>
    <row r="132" spans="1:5" ht="15" hidden="1">
      <c r="A132" s="26" t="s">
        <v>52</v>
      </c>
      <c r="B132" s="63" t="s">
        <v>53</v>
      </c>
      <c r="C132" s="37"/>
      <c r="D132" s="37"/>
      <c r="E132" s="35"/>
    </row>
    <row r="133" spans="1:5" ht="15" hidden="1">
      <c r="A133" s="26" t="s">
        <v>54</v>
      </c>
      <c r="B133" s="26" t="s">
        <v>55</v>
      </c>
      <c r="C133" s="13" t="s">
        <v>56</v>
      </c>
      <c r="D133" s="26"/>
      <c r="E133" s="26">
        <v>33.57</v>
      </c>
    </row>
    <row r="134" spans="1:5" ht="15" hidden="1">
      <c r="A134" s="26" t="s">
        <v>57</v>
      </c>
      <c r="B134" s="26" t="s">
        <v>58</v>
      </c>
      <c r="C134" s="13" t="s">
        <v>59</v>
      </c>
      <c r="D134" s="64" t="s">
        <v>47</v>
      </c>
      <c r="E134" s="26"/>
    </row>
    <row r="135" spans="1:5" ht="15" hidden="1">
      <c r="A135" s="38" t="s">
        <v>60</v>
      </c>
      <c r="B135" s="459" t="s">
        <v>61</v>
      </c>
      <c r="C135" s="460"/>
      <c r="D135" s="460"/>
      <c r="E135" s="461"/>
    </row>
    <row r="136" spans="1:5" ht="17.25" hidden="1">
      <c r="A136" s="14" t="s">
        <v>62</v>
      </c>
      <c r="B136" s="18" t="s">
        <v>182</v>
      </c>
      <c r="C136" s="11" t="s">
        <v>59</v>
      </c>
      <c r="D136" s="149" t="s">
        <v>180</v>
      </c>
      <c r="E136" s="241">
        <f>E137+E138</f>
        <v>6.880712719517851</v>
      </c>
    </row>
    <row r="137" spans="1:5" ht="18.75" hidden="1">
      <c r="A137" s="15" t="s">
        <v>63</v>
      </c>
      <c r="B137" s="16" t="s">
        <v>64</v>
      </c>
      <c r="C137" s="13" t="s">
        <v>59</v>
      </c>
      <c r="D137" s="130" t="s">
        <v>174</v>
      </c>
      <c r="E137" s="26">
        <v>2.39</v>
      </c>
    </row>
    <row r="138" spans="1:5" ht="18.75" hidden="1">
      <c r="A138" s="15" t="s">
        <v>65</v>
      </c>
      <c r="B138" s="17" t="s">
        <v>66</v>
      </c>
      <c r="C138" s="22"/>
      <c r="D138" s="142" t="s">
        <v>175</v>
      </c>
      <c r="E138" s="242">
        <f>0.39+(7.24*E110/37.6)</f>
        <v>4.49071271951785</v>
      </c>
    </row>
    <row r="139" spans="1:5" ht="15" hidden="1">
      <c r="A139" s="14" t="s">
        <v>67</v>
      </c>
      <c r="B139" s="18" t="s">
        <v>68</v>
      </c>
      <c r="C139" s="11"/>
      <c r="D139" s="26"/>
      <c r="E139" s="26"/>
    </row>
    <row r="140" spans="1:5" ht="15" hidden="1">
      <c r="A140" s="14" t="s">
        <v>69</v>
      </c>
      <c r="B140" s="19" t="s">
        <v>55</v>
      </c>
      <c r="C140" s="12" t="s">
        <v>56</v>
      </c>
      <c r="D140" s="26"/>
      <c r="E140" s="26"/>
    </row>
    <row r="141" spans="1:5" ht="18.75" hidden="1">
      <c r="A141" s="14" t="s">
        <v>70</v>
      </c>
      <c r="B141" s="19" t="s">
        <v>71</v>
      </c>
      <c r="C141" s="13" t="s">
        <v>59</v>
      </c>
      <c r="D141" s="130" t="s">
        <v>176</v>
      </c>
      <c r="E141" s="26"/>
    </row>
    <row r="142" spans="1:5" ht="15" hidden="1">
      <c r="A142" s="134" t="s">
        <v>72</v>
      </c>
      <c r="B142" s="454" t="s">
        <v>73</v>
      </c>
      <c r="C142" s="455"/>
      <c r="D142" s="455"/>
      <c r="E142" s="456"/>
    </row>
    <row r="143" spans="1:5" ht="15" hidden="1">
      <c r="A143" s="462" t="s">
        <v>79</v>
      </c>
      <c r="B143" s="20" t="s">
        <v>74</v>
      </c>
      <c r="C143" s="13" t="s">
        <v>59</v>
      </c>
      <c r="D143" s="132" t="s">
        <v>106</v>
      </c>
      <c r="E143" s="70">
        <v>0.31</v>
      </c>
    </row>
    <row r="144" spans="1:5" ht="15" hidden="1">
      <c r="A144" s="463"/>
      <c r="B144" s="21" t="s">
        <v>75</v>
      </c>
      <c r="C144" s="61" t="s">
        <v>76</v>
      </c>
      <c r="D144" s="132" t="s">
        <v>106</v>
      </c>
      <c r="E144" s="70">
        <v>2.32</v>
      </c>
    </row>
    <row r="145" spans="1:5" ht="15.75" hidden="1" thickBot="1">
      <c r="A145" s="463"/>
      <c r="B145" s="21" t="s">
        <v>77</v>
      </c>
      <c r="C145" s="131" t="s">
        <v>78</v>
      </c>
      <c r="D145" s="132" t="s">
        <v>106</v>
      </c>
      <c r="E145" s="70">
        <v>46.02</v>
      </c>
    </row>
    <row r="146" spans="1:5" ht="15" hidden="1">
      <c r="A146" s="134" t="s">
        <v>80</v>
      </c>
      <c r="B146" s="135" t="s">
        <v>81</v>
      </c>
      <c r="C146" s="13" t="s">
        <v>59</v>
      </c>
      <c r="D146" s="70"/>
      <c r="E146" s="70">
        <v>0.12</v>
      </c>
    </row>
    <row r="147" spans="1:5" ht="15" hidden="1">
      <c r="A147" s="134" t="s">
        <v>82</v>
      </c>
      <c r="B147" s="135" t="s">
        <v>83</v>
      </c>
      <c r="C147" s="13" t="s">
        <v>59</v>
      </c>
      <c r="D147" s="70"/>
      <c r="E147" s="70">
        <v>-0.27</v>
      </c>
    </row>
    <row r="148" spans="1:5" ht="15" hidden="1">
      <c r="A148" s="134" t="s">
        <v>84</v>
      </c>
      <c r="B148" s="135" t="s">
        <v>177</v>
      </c>
      <c r="C148" s="13" t="s">
        <v>59</v>
      </c>
      <c r="D148" s="70"/>
      <c r="E148" s="246">
        <f>E110+E136+E143+E146+E147</f>
        <v>28.337231815356414</v>
      </c>
    </row>
    <row r="149" spans="1:5" ht="15" hidden="1">
      <c r="A149" s="134" t="s">
        <v>85</v>
      </c>
      <c r="B149" s="135" t="s">
        <v>86</v>
      </c>
      <c r="C149" s="13" t="s">
        <v>59</v>
      </c>
      <c r="D149" s="70"/>
      <c r="E149" s="70">
        <v>0</v>
      </c>
    </row>
    <row r="150" spans="1:5" ht="15" hidden="1">
      <c r="A150" s="134" t="s">
        <v>87</v>
      </c>
      <c r="B150" s="135" t="s">
        <v>88</v>
      </c>
      <c r="C150" s="11" t="s">
        <v>59</v>
      </c>
      <c r="D150" s="137"/>
      <c r="E150" s="246">
        <f>E148</f>
        <v>28.337231815356414</v>
      </c>
    </row>
    <row r="151" spans="1:5" ht="15" hidden="1">
      <c r="A151" s="134" t="s">
        <v>89</v>
      </c>
      <c r="B151" s="135" t="s">
        <v>90</v>
      </c>
      <c r="C151" s="11" t="s">
        <v>59</v>
      </c>
      <c r="D151" s="137"/>
      <c r="E151" s="246">
        <f>E150*1.09</f>
        <v>30.887582678738493</v>
      </c>
    </row>
    <row r="152" spans="1:5" ht="15" hidden="1">
      <c r="A152" s="134" t="s">
        <v>91</v>
      </c>
      <c r="B152" s="135" t="s">
        <v>92</v>
      </c>
      <c r="C152" s="11" t="s">
        <v>59</v>
      </c>
      <c r="D152" s="137"/>
      <c r="E152" s="246">
        <f>E150</f>
        <v>28.337231815356414</v>
      </c>
    </row>
    <row r="153" spans="1:5" ht="15" hidden="1">
      <c r="A153" s="134" t="s">
        <v>93</v>
      </c>
      <c r="B153" s="135" t="s">
        <v>94</v>
      </c>
      <c r="C153" s="134" t="s">
        <v>95</v>
      </c>
      <c r="D153" s="137"/>
      <c r="E153" s="246">
        <f>(E152/E59)*100-100</f>
        <v>-0.19500622601812267</v>
      </c>
    </row>
    <row r="154" spans="1:5" ht="15" hidden="1">
      <c r="A154" s="134" t="s">
        <v>96</v>
      </c>
      <c r="B154" s="136" t="s">
        <v>97</v>
      </c>
      <c r="C154" s="138" t="s">
        <v>98</v>
      </c>
      <c r="D154" s="139"/>
      <c r="E154" s="248">
        <f>1005/1000</f>
        <v>1.005</v>
      </c>
    </row>
    <row r="155" spans="1:5" ht="15" hidden="1">
      <c r="A155" s="134" t="s">
        <v>99</v>
      </c>
      <c r="B155" s="136" t="s">
        <v>100</v>
      </c>
      <c r="C155" s="133" t="s">
        <v>98</v>
      </c>
      <c r="D155" s="70"/>
      <c r="E155" s="248">
        <f>692.2341/1000</f>
        <v>0.6922341</v>
      </c>
    </row>
    <row r="156" spans="1:5" ht="15.75" hidden="1" thickBot="1">
      <c r="A156" s="24" t="s">
        <v>101</v>
      </c>
      <c r="B156" s="25" t="s">
        <v>102</v>
      </c>
      <c r="C156" s="133" t="s">
        <v>98</v>
      </c>
      <c r="D156" s="70"/>
      <c r="E156" s="70">
        <v>0</v>
      </c>
    </row>
    <row r="157" ht="15" hidden="1"/>
    <row r="158" ht="15" hidden="1"/>
    <row r="159" ht="15" hidden="1"/>
    <row r="160" ht="15" hidden="1"/>
    <row r="161" spans="2:4" ht="15" hidden="1">
      <c r="B161" t="s">
        <v>189</v>
      </c>
      <c r="C161" t="s">
        <v>193</v>
      </c>
      <c r="D161" s="155" t="s">
        <v>190</v>
      </c>
    </row>
    <row r="162" ht="15" hidden="1">
      <c r="C162" s="162" t="s">
        <v>194</v>
      </c>
    </row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spans="1:5" ht="15" hidden="1">
      <c r="A183" s="140" t="s">
        <v>0</v>
      </c>
      <c r="B183" s="140"/>
      <c r="C183" s="140"/>
      <c r="D183" s="140"/>
      <c r="E183" s="140" t="s">
        <v>107</v>
      </c>
    </row>
    <row r="184" spans="1:5" ht="15" hidden="1">
      <c r="A184" s="140" t="s">
        <v>1</v>
      </c>
      <c r="B184" s="140"/>
      <c r="C184" s="140"/>
      <c r="D184" s="140" t="s">
        <v>178</v>
      </c>
      <c r="E184" s="3"/>
    </row>
    <row r="185" spans="1:5" ht="15" hidden="1">
      <c r="A185" s="140" t="s">
        <v>2</v>
      </c>
      <c r="B185" s="140"/>
      <c r="C185" s="140"/>
      <c r="D185" s="140" t="s">
        <v>167</v>
      </c>
      <c r="E185" s="5"/>
    </row>
    <row r="186" spans="1:5" ht="15" hidden="1">
      <c r="A186" s="140" t="s">
        <v>3</v>
      </c>
      <c r="B186" s="140"/>
      <c r="C186" s="140"/>
      <c r="D186" s="140" t="s">
        <v>168</v>
      </c>
      <c r="E186" s="3"/>
    </row>
    <row r="187" spans="1:5" ht="15" hidden="1">
      <c r="A187" s="140" t="s">
        <v>4</v>
      </c>
      <c r="B187" s="140"/>
      <c r="C187" s="140"/>
      <c r="D187" s="140" t="s">
        <v>169</v>
      </c>
      <c r="E187" s="3"/>
    </row>
    <row r="188" spans="1:5" ht="15" hidden="1">
      <c r="A188" s="161" t="s">
        <v>192</v>
      </c>
      <c r="B188" s="140"/>
      <c r="C188" s="140"/>
      <c r="D188" s="140"/>
      <c r="E188" s="3"/>
    </row>
    <row r="189" spans="1:5" ht="15" hidden="1">
      <c r="A189" s="140" t="s">
        <v>5</v>
      </c>
      <c r="B189" s="140"/>
      <c r="C189" s="140"/>
      <c r="D189" s="140" t="s">
        <v>170</v>
      </c>
      <c r="E189" s="3"/>
    </row>
    <row r="190" spans="1:5" ht="15" hidden="1">
      <c r="A190" s="1"/>
      <c r="B190" s="1"/>
      <c r="C190" s="1"/>
      <c r="D190" s="1"/>
      <c r="E190" s="1"/>
    </row>
    <row r="191" spans="1:4" ht="15.75" hidden="1">
      <c r="A191" s="150"/>
      <c r="B191" s="150" t="s">
        <v>233</v>
      </c>
      <c r="C191" s="2"/>
      <c r="D191" s="2"/>
    </row>
    <row r="192" spans="1:4" ht="15.75" hidden="1">
      <c r="A192" s="150"/>
      <c r="B192" s="150"/>
      <c r="C192" s="159">
        <v>41540</v>
      </c>
      <c r="D192" s="2"/>
    </row>
    <row r="193" spans="1:4" ht="15.75" hidden="1">
      <c r="A193" s="150"/>
      <c r="B193" s="150"/>
      <c r="C193" s="160" t="s">
        <v>191</v>
      </c>
      <c r="D193" s="2"/>
    </row>
    <row r="194" spans="1:5" ht="15" hidden="1">
      <c r="A194" s="2" t="s">
        <v>6</v>
      </c>
      <c r="B194" s="2"/>
      <c r="C194" s="2"/>
      <c r="D194" s="2"/>
      <c r="E194" s="2"/>
    </row>
    <row r="195" spans="1:5" ht="15" hidden="1">
      <c r="A195" s="1" t="s">
        <v>195</v>
      </c>
      <c r="B195" s="1"/>
      <c r="C195" s="1"/>
      <c r="D195" s="1"/>
      <c r="E195" s="1"/>
    </row>
    <row r="196" spans="1:5" ht="15" hidden="1">
      <c r="A196" s="1" t="s">
        <v>7</v>
      </c>
      <c r="B196" s="1"/>
      <c r="C196" s="1"/>
      <c r="D196" s="1"/>
      <c r="E196" s="1"/>
    </row>
    <row r="197" spans="1:5" ht="15" hidden="1">
      <c r="A197" s="1" t="s">
        <v>237</v>
      </c>
      <c r="B197" s="1"/>
      <c r="C197" s="1"/>
      <c r="D197" s="1"/>
      <c r="E197" s="1"/>
    </row>
    <row r="198" spans="1:5" ht="15" hidden="1">
      <c r="A198" s="27" t="s">
        <v>8</v>
      </c>
      <c r="B198" s="27" t="s">
        <v>9</v>
      </c>
      <c r="C198" s="27" t="s">
        <v>10</v>
      </c>
      <c r="D198" s="27" t="s">
        <v>11</v>
      </c>
      <c r="E198" s="27" t="s">
        <v>12</v>
      </c>
    </row>
    <row r="199" spans="1:5" ht="15" hidden="1">
      <c r="A199" s="26">
        <v>1</v>
      </c>
      <c r="B199" s="26">
        <v>2</v>
      </c>
      <c r="C199" s="26">
        <v>3</v>
      </c>
      <c r="D199" s="26">
        <v>4</v>
      </c>
      <c r="E199" s="26">
        <v>5</v>
      </c>
    </row>
    <row r="200" spans="1:5" ht="15" hidden="1">
      <c r="A200" s="38" t="s">
        <v>13</v>
      </c>
      <c r="B200" s="28" t="s">
        <v>14</v>
      </c>
      <c r="C200" s="28"/>
      <c r="D200" s="28"/>
      <c r="E200" s="29"/>
    </row>
    <row r="201" spans="1:5" ht="17.25" hidden="1">
      <c r="A201" s="38" t="s">
        <v>15</v>
      </c>
      <c r="B201" s="141" t="s">
        <v>183</v>
      </c>
      <c r="C201" s="11" t="s">
        <v>59</v>
      </c>
      <c r="D201" s="143" t="s">
        <v>179</v>
      </c>
      <c r="E201" s="241">
        <f>E202+E203</f>
        <v>21.18449590891351</v>
      </c>
    </row>
    <row r="202" spans="1:5" ht="18.75" hidden="1">
      <c r="A202" s="27" t="s">
        <v>16</v>
      </c>
      <c r="B202" s="26" t="s">
        <v>18</v>
      </c>
      <c r="C202" s="13" t="s">
        <v>59</v>
      </c>
      <c r="D202" s="130" t="s">
        <v>171</v>
      </c>
      <c r="E202" s="4">
        <v>4.57</v>
      </c>
    </row>
    <row r="203" spans="1:5" ht="33" hidden="1">
      <c r="A203" s="39" t="s">
        <v>17</v>
      </c>
      <c r="B203" s="158" t="s">
        <v>19</v>
      </c>
      <c r="C203" s="30" t="s">
        <v>59</v>
      </c>
      <c r="D203" s="31" t="s">
        <v>20</v>
      </c>
      <c r="E203" s="243">
        <f>0.28+((4325*E208+((226+106.1)*E212)+509*E216)/(44.84*1000))/10</f>
        <v>16.61449590891351</v>
      </c>
    </row>
    <row r="204" spans="1:5" ht="15" hidden="1">
      <c r="A204" s="27" t="s">
        <v>21</v>
      </c>
      <c r="B204" s="33" t="s">
        <v>22</v>
      </c>
      <c r="C204" s="34"/>
      <c r="D204" s="37"/>
      <c r="E204" s="35"/>
    </row>
    <row r="205" spans="1:5" ht="15" hidden="1">
      <c r="A205" s="53" t="s">
        <v>23</v>
      </c>
      <c r="B205" s="54" t="s">
        <v>24</v>
      </c>
      <c r="C205" s="55"/>
      <c r="D205" s="55"/>
      <c r="E205" s="56"/>
    </row>
    <row r="206" spans="1:5" ht="15" hidden="1">
      <c r="A206" s="27" t="s">
        <v>25</v>
      </c>
      <c r="B206" s="26" t="s">
        <v>26</v>
      </c>
      <c r="C206" s="36" t="s">
        <v>41</v>
      </c>
      <c r="D206" s="26"/>
      <c r="E206" s="26"/>
    </row>
    <row r="207" spans="1:5" ht="15" hidden="1">
      <c r="A207" s="27" t="s">
        <v>27</v>
      </c>
      <c r="B207" s="26" t="s">
        <v>28</v>
      </c>
      <c r="C207" s="7" t="s">
        <v>41</v>
      </c>
      <c r="D207" s="26"/>
      <c r="E207" s="26"/>
    </row>
    <row r="208" spans="1:5" ht="15" hidden="1">
      <c r="A208" s="27" t="s">
        <v>29</v>
      </c>
      <c r="B208" s="42" t="s">
        <v>30</v>
      </c>
      <c r="C208" s="43" t="s">
        <v>41</v>
      </c>
      <c r="D208" s="26"/>
      <c r="E208" s="242">
        <f>Lapas3!D132+37.53+275.02</f>
        <v>1572.7130555555557</v>
      </c>
    </row>
    <row r="209" spans="1:5" ht="15" hidden="1">
      <c r="A209" s="40" t="s">
        <v>31</v>
      </c>
      <c r="B209" s="45" t="s">
        <v>32</v>
      </c>
      <c r="C209" s="46"/>
      <c r="D209" s="46"/>
      <c r="E209" s="47"/>
    </row>
    <row r="210" spans="1:5" ht="15" hidden="1">
      <c r="A210" s="27" t="s">
        <v>35</v>
      </c>
      <c r="B210" s="26" t="s">
        <v>26</v>
      </c>
      <c r="C210" s="44" t="s">
        <v>33</v>
      </c>
      <c r="D210" s="26"/>
      <c r="E210" s="26"/>
    </row>
    <row r="211" spans="1:5" ht="15" hidden="1">
      <c r="A211" s="27" t="s">
        <v>36</v>
      </c>
      <c r="B211" s="26" t="s">
        <v>28</v>
      </c>
      <c r="C211" s="6" t="s">
        <v>33</v>
      </c>
      <c r="D211" s="26"/>
      <c r="E211" s="26"/>
    </row>
    <row r="212" spans="1:5" ht="15" hidden="1">
      <c r="A212" s="27" t="s">
        <v>37</v>
      </c>
      <c r="B212" s="26" t="s">
        <v>30</v>
      </c>
      <c r="C212" s="48" t="s">
        <v>33</v>
      </c>
      <c r="D212" s="26"/>
      <c r="E212" s="242">
        <f>Lapas3!D168</f>
        <v>385.77937452285533</v>
      </c>
    </row>
    <row r="213" spans="1:5" ht="15" hidden="1">
      <c r="A213" s="41" t="s">
        <v>34</v>
      </c>
      <c r="B213" s="50" t="s">
        <v>103</v>
      </c>
      <c r="C213" s="51"/>
      <c r="D213" s="51"/>
      <c r="E213" s="52"/>
    </row>
    <row r="214" spans="1:5" ht="15" hidden="1">
      <c r="A214" s="32" t="s">
        <v>38</v>
      </c>
      <c r="B214" s="49" t="s">
        <v>26</v>
      </c>
      <c r="C214" s="44" t="s">
        <v>33</v>
      </c>
      <c r="D214" s="26"/>
      <c r="E214" s="26"/>
    </row>
    <row r="215" spans="1:5" ht="15" hidden="1">
      <c r="A215" s="32" t="s">
        <v>39</v>
      </c>
      <c r="B215" s="26" t="s">
        <v>28</v>
      </c>
      <c r="C215" s="6" t="s">
        <v>33</v>
      </c>
      <c r="D215" s="26"/>
      <c r="E215" s="26"/>
    </row>
    <row r="216" spans="1:5" ht="15" hidden="1">
      <c r="A216" s="23" t="s">
        <v>40</v>
      </c>
      <c r="B216" s="42" t="s">
        <v>30</v>
      </c>
      <c r="C216" s="48" t="s">
        <v>33</v>
      </c>
      <c r="D216" s="26"/>
      <c r="E216" s="26">
        <v>774.63</v>
      </c>
    </row>
    <row r="217" spans="1:5" ht="15" hidden="1">
      <c r="A217" s="57" t="s">
        <v>42</v>
      </c>
      <c r="B217" s="58" t="s">
        <v>43</v>
      </c>
      <c r="C217" s="59"/>
      <c r="D217" s="59"/>
      <c r="E217" s="60"/>
    </row>
    <row r="218" spans="1:5" ht="15" hidden="1">
      <c r="A218" s="26" t="s">
        <v>44</v>
      </c>
      <c r="B218" s="26" t="s">
        <v>104</v>
      </c>
      <c r="C218" s="26"/>
      <c r="D218" s="26"/>
      <c r="E218" s="27" t="s">
        <v>106</v>
      </c>
    </row>
    <row r="219" spans="1:5" ht="15" hidden="1">
      <c r="A219" s="26" t="s">
        <v>45</v>
      </c>
      <c r="B219" s="26" t="s">
        <v>105</v>
      </c>
      <c r="C219" s="13" t="s">
        <v>59</v>
      </c>
      <c r="D219" s="26"/>
      <c r="E219" s="26">
        <v>0</v>
      </c>
    </row>
    <row r="220" spans="1:5" ht="17.25" hidden="1">
      <c r="A220" s="144" t="s">
        <v>46</v>
      </c>
      <c r="B220" s="144" t="s">
        <v>172</v>
      </c>
      <c r="C220" s="148" t="s">
        <v>59</v>
      </c>
      <c r="D220" s="149" t="s">
        <v>181</v>
      </c>
      <c r="E220" s="145"/>
    </row>
    <row r="221" spans="1:5" ht="18.75" hidden="1">
      <c r="A221" s="26" t="s">
        <v>48</v>
      </c>
      <c r="B221" s="26" t="s">
        <v>49</v>
      </c>
      <c r="C221" s="61" t="s">
        <v>59</v>
      </c>
      <c r="D221" s="130" t="s">
        <v>173</v>
      </c>
      <c r="E221" s="242">
        <f>E202</f>
        <v>4.57</v>
      </c>
    </row>
    <row r="222" spans="1:5" ht="33" hidden="1">
      <c r="A222" s="39" t="s">
        <v>50</v>
      </c>
      <c r="B222" s="39" t="s">
        <v>51</v>
      </c>
      <c r="C222" s="30" t="s">
        <v>59</v>
      </c>
      <c r="D222" s="62" t="s">
        <v>20</v>
      </c>
      <c r="E222" s="244">
        <f>E203</f>
        <v>16.61449590891351</v>
      </c>
    </row>
    <row r="223" spans="1:5" ht="15" hidden="1">
      <c r="A223" s="26" t="s">
        <v>52</v>
      </c>
      <c r="B223" s="63" t="s">
        <v>53</v>
      </c>
      <c r="C223" s="37"/>
      <c r="D223" s="37"/>
      <c r="E223" s="35"/>
    </row>
    <row r="224" spans="1:5" ht="15" hidden="1">
      <c r="A224" s="26" t="s">
        <v>54</v>
      </c>
      <c r="B224" s="26" t="s">
        <v>55</v>
      </c>
      <c r="C224" s="13" t="s">
        <v>56</v>
      </c>
      <c r="D224" s="26"/>
      <c r="E224" s="26">
        <v>33.57</v>
      </c>
    </row>
    <row r="225" spans="1:5" ht="15" hidden="1">
      <c r="A225" s="26" t="s">
        <v>57</v>
      </c>
      <c r="B225" s="26" t="s">
        <v>58</v>
      </c>
      <c r="C225" s="13" t="s">
        <v>59</v>
      </c>
      <c r="D225" s="64" t="s">
        <v>47</v>
      </c>
      <c r="E225" s="26"/>
    </row>
    <row r="226" spans="1:5" ht="15" hidden="1">
      <c r="A226" s="38" t="s">
        <v>60</v>
      </c>
      <c r="B226" s="459" t="s">
        <v>61</v>
      </c>
      <c r="C226" s="460"/>
      <c r="D226" s="460"/>
      <c r="E226" s="461"/>
    </row>
    <row r="227" spans="1:5" ht="17.25" hidden="1">
      <c r="A227" s="14" t="s">
        <v>62</v>
      </c>
      <c r="B227" s="18" t="s">
        <v>182</v>
      </c>
      <c r="C227" s="11" t="s">
        <v>59</v>
      </c>
      <c r="D227" s="149" t="s">
        <v>180</v>
      </c>
      <c r="E227" s="241">
        <f>E228+E229</f>
        <v>6.859142297354623</v>
      </c>
    </row>
    <row r="228" spans="1:5" ht="18.75" hidden="1">
      <c r="A228" s="15" t="s">
        <v>63</v>
      </c>
      <c r="B228" s="16" t="s">
        <v>64</v>
      </c>
      <c r="C228" s="13" t="s">
        <v>59</v>
      </c>
      <c r="D228" s="130" t="s">
        <v>174</v>
      </c>
      <c r="E228" s="26">
        <v>2.39</v>
      </c>
    </row>
    <row r="229" spans="1:5" ht="18.75" hidden="1">
      <c r="A229" s="15" t="s">
        <v>65</v>
      </c>
      <c r="B229" s="17" t="s">
        <v>66</v>
      </c>
      <c r="C229" s="22"/>
      <c r="D229" s="142" t="s">
        <v>175</v>
      </c>
      <c r="E229" s="242">
        <f>0.39+(7.24*E201/37.6)</f>
        <v>4.469142297354622</v>
      </c>
    </row>
    <row r="230" spans="1:5" ht="15" hidden="1">
      <c r="A230" s="14" t="s">
        <v>67</v>
      </c>
      <c r="B230" s="18" t="s">
        <v>68</v>
      </c>
      <c r="C230" s="11"/>
      <c r="D230" s="26"/>
      <c r="E230" s="26"/>
    </row>
    <row r="231" spans="1:5" ht="15" hidden="1">
      <c r="A231" s="14" t="s">
        <v>69</v>
      </c>
      <c r="B231" s="19" t="s">
        <v>55</v>
      </c>
      <c r="C231" s="12" t="s">
        <v>56</v>
      </c>
      <c r="D231" s="26"/>
      <c r="E231" s="26"/>
    </row>
    <row r="232" spans="1:5" ht="18.75" hidden="1">
      <c r="A232" s="14" t="s">
        <v>70</v>
      </c>
      <c r="B232" s="19" t="s">
        <v>71</v>
      </c>
      <c r="C232" s="13" t="s">
        <v>59</v>
      </c>
      <c r="D232" s="130" t="s">
        <v>176</v>
      </c>
      <c r="E232" s="26"/>
    </row>
    <row r="233" spans="1:5" ht="15" hidden="1">
      <c r="A233" s="134" t="s">
        <v>72</v>
      </c>
      <c r="B233" s="454" t="s">
        <v>73</v>
      </c>
      <c r="C233" s="455"/>
      <c r="D233" s="455"/>
      <c r="E233" s="456"/>
    </row>
    <row r="234" spans="1:5" ht="15" hidden="1">
      <c r="A234" s="462" t="s">
        <v>79</v>
      </c>
      <c r="B234" s="20" t="s">
        <v>74</v>
      </c>
      <c r="C234" s="13" t="s">
        <v>59</v>
      </c>
      <c r="D234" s="132" t="s">
        <v>106</v>
      </c>
      <c r="E234" s="70">
        <v>0.31</v>
      </c>
    </row>
    <row r="235" spans="1:5" ht="15" hidden="1">
      <c r="A235" s="463"/>
      <c r="B235" s="21" t="s">
        <v>75</v>
      </c>
      <c r="C235" s="61" t="s">
        <v>76</v>
      </c>
      <c r="D235" s="132" t="s">
        <v>106</v>
      </c>
      <c r="E235" s="70">
        <v>2.32</v>
      </c>
    </row>
    <row r="236" spans="1:5" ht="15.75" hidden="1" thickBot="1">
      <c r="A236" s="463"/>
      <c r="B236" s="21" t="s">
        <v>77</v>
      </c>
      <c r="C236" s="131" t="s">
        <v>78</v>
      </c>
      <c r="D236" s="132" t="s">
        <v>106</v>
      </c>
      <c r="E236" s="70">
        <v>46.02</v>
      </c>
    </row>
    <row r="237" spans="1:5" ht="15" hidden="1">
      <c r="A237" s="134" t="s">
        <v>80</v>
      </c>
      <c r="B237" s="135" t="s">
        <v>81</v>
      </c>
      <c r="C237" s="13" t="s">
        <v>59</v>
      </c>
      <c r="D237" s="70"/>
      <c r="E237" s="70">
        <v>0.12</v>
      </c>
    </row>
    <row r="238" spans="1:5" ht="15" hidden="1">
      <c r="A238" s="134" t="s">
        <v>82</v>
      </c>
      <c r="B238" s="135" t="s">
        <v>83</v>
      </c>
      <c r="C238" s="13" t="s">
        <v>59</v>
      </c>
      <c r="D238" s="70"/>
      <c r="E238" s="70">
        <v>-0.27</v>
      </c>
    </row>
    <row r="239" spans="1:5" ht="15" hidden="1">
      <c r="A239" s="134" t="s">
        <v>84</v>
      </c>
      <c r="B239" s="135" t="s">
        <v>177</v>
      </c>
      <c r="C239" s="13" t="s">
        <v>59</v>
      </c>
      <c r="D239" s="70"/>
      <c r="E239" s="246">
        <f>E201+E227+E234+E237+E238</f>
        <v>28.203638206268135</v>
      </c>
    </row>
    <row r="240" spans="1:5" ht="15" hidden="1">
      <c r="A240" s="134" t="s">
        <v>85</v>
      </c>
      <c r="B240" s="135" t="s">
        <v>86</v>
      </c>
      <c r="C240" s="13" t="s">
        <v>59</v>
      </c>
      <c r="D240" s="70"/>
      <c r="E240" s="70">
        <v>0</v>
      </c>
    </row>
    <row r="241" spans="1:5" ht="15" hidden="1">
      <c r="A241" s="134" t="s">
        <v>87</v>
      </c>
      <c r="B241" s="135" t="s">
        <v>88</v>
      </c>
      <c r="C241" s="11" t="s">
        <v>59</v>
      </c>
      <c r="D241" s="137"/>
      <c r="E241" s="246">
        <f>E239</f>
        <v>28.203638206268135</v>
      </c>
    </row>
    <row r="242" spans="1:5" ht="15" hidden="1">
      <c r="A242" s="134" t="s">
        <v>89</v>
      </c>
      <c r="B242" s="135" t="s">
        <v>90</v>
      </c>
      <c r="C242" s="11" t="s">
        <v>59</v>
      </c>
      <c r="D242" s="137"/>
      <c r="E242" s="246">
        <f>E241*1.09</f>
        <v>30.74196564483227</v>
      </c>
    </row>
    <row r="243" spans="1:5" ht="15" hidden="1">
      <c r="A243" s="134" t="s">
        <v>91</v>
      </c>
      <c r="B243" s="135" t="s">
        <v>92</v>
      </c>
      <c r="C243" s="11" t="s">
        <v>59</v>
      </c>
      <c r="D243" s="137"/>
      <c r="E243" s="246">
        <f>E152</f>
        <v>28.337231815356414</v>
      </c>
    </row>
    <row r="244" spans="1:5" ht="15" hidden="1">
      <c r="A244" s="134" t="s">
        <v>93</v>
      </c>
      <c r="B244" s="135" t="s">
        <v>94</v>
      </c>
      <c r="C244" s="134" t="s">
        <v>95</v>
      </c>
      <c r="D244" s="137"/>
      <c r="E244" s="246">
        <f>(28.2/28.34)*100-100</f>
        <v>-0.4940014114326061</v>
      </c>
    </row>
    <row r="245" spans="1:5" ht="15" hidden="1">
      <c r="A245" s="134" t="s">
        <v>96</v>
      </c>
      <c r="B245" s="136" t="s">
        <v>97</v>
      </c>
      <c r="C245" s="138" t="s">
        <v>98</v>
      </c>
      <c r="D245" s="139"/>
      <c r="E245" s="248">
        <f>1004/1000</f>
        <v>1.004</v>
      </c>
    </row>
    <row r="246" spans="1:5" ht="15" hidden="1">
      <c r="A246" s="134" t="s">
        <v>99</v>
      </c>
      <c r="B246" s="136" t="s">
        <v>100</v>
      </c>
      <c r="C246" s="133" t="s">
        <v>98</v>
      </c>
      <c r="D246" s="70"/>
      <c r="E246" s="248">
        <f>635.29/1000</f>
        <v>0.6352899999999999</v>
      </c>
    </row>
    <row r="247" spans="1:5" ht="15.75" hidden="1" thickBot="1">
      <c r="A247" s="24" t="s">
        <v>101</v>
      </c>
      <c r="B247" s="25" t="s">
        <v>102</v>
      </c>
      <c r="C247" s="133" t="s">
        <v>98</v>
      </c>
      <c r="D247" s="70"/>
      <c r="E247" s="70">
        <v>0</v>
      </c>
    </row>
    <row r="248" ht="15" hidden="1"/>
    <row r="249" ht="15" hidden="1"/>
    <row r="250" ht="15" hidden="1"/>
    <row r="251" ht="15" hidden="1"/>
    <row r="252" spans="2:4" ht="15" hidden="1">
      <c r="B252" t="s">
        <v>235</v>
      </c>
      <c r="C252" t="s">
        <v>193</v>
      </c>
      <c r="D252" s="250" t="s">
        <v>236</v>
      </c>
    </row>
    <row r="253" ht="15" hidden="1">
      <c r="C253" s="162" t="s">
        <v>194</v>
      </c>
    </row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spans="1:5" ht="15" hidden="1">
      <c r="A274" s="140" t="s">
        <v>0</v>
      </c>
      <c r="B274" s="140"/>
      <c r="C274" s="140"/>
      <c r="D274" s="140"/>
      <c r="E274" s="140" t="s">
        <v>107</v>
      </c>
    </row>
    <row r="275" spans="1:5" ht="15" hidden="1">
      <c r="A275" s="140" t="s">
        <v>1</v>
      </c>
      <c r="B275" s="140"/>
      <c r="C275" s="140"/>
      <c r="D275" s="140" t="s">
        <v>178</v>
      </c>
      <c r="E275" s="3"/>
    </row>
    <row r="276" spans="1:5" ht="15" hidden="1">
      <c r="A276" s="140" t="s">
        <v>2</v>
      </c>
      <c r="B276" s="140"/>
      <c r="C276" s="140"/>
      <c r="D276" s="140" t="s">
        <v>167</v>
      </c>
      <c r="E276" s="5"/>
    </row>
    <row r="277" spans="1:5" ht="15" hidden="1">
      <c r="A277" s="140" t="s">
        <v>3</v>
      </c>
      <c r="B277" s="140"/>
      <c r="C277" s="140"/>
      <c r="D277" s="140" t="s">
        <v>168</v>
      </c>
      <c r="E277" s="3"/>
    </row>
    <row r="278" spans="1:5" ht="15" hidden="1">
      <c r="A278" s="140" t="s">
        <v>4</v>
      </c>
      <c r="B278" s="140"/>
      <c r="C278" s="140"/>
      <c r="D278" s="140" t="s">
        <v>169</v>
      </c>
      <c r="E278" s="3"/>
    </row>
    <row r="279" spans="1:5" ht="15" hidden="1">
      <c r="A279" s="161" t="s">
        <v>192</v>
      </c>
      <c r="B279" s="140"/>
      <c r="C279" s="140"/>
      <c r="D279" s="140"/>
      <c r="E279" s="3"/>
    </row>
    <row r="280" spans="1:5" ht="15" hidden="1">
      <c r="A280" s="140" t="s">
        <v>5</v>
      </c>
      <c r="B280" s="140"/>
      <c r="C280" s="140"/>
      <c r="D280" s="140" t="s">
        <v>170</v>
      </c>
      <c r="E280" s="3"/>
    </row>
    <row r="281" spans="1:5" ht="15" hidden="1">
      <c r="A281" s="1"/>
      <c r="B281" s="1"/>
      <c r="C281" s="1"/>
      <c r="D281" s="1"/>
      <c r="E281" s="1"/>
    </row>
    <row r="282" spans="1:4" ht="15.75" hidden="1">
      <c r="A282" s="150"/>
      <c r="B282" s="150" t="s">
        <v>240</v>
      </c>
      <c r="C282" s="2"/>
      <c r="D282" s="2"/>
    </row>
    <row r="283" spans="1:4" ht="15.75" hidden="1">
      <c r="A283" s="150"/>
      <c r="B283" s="150"/>
      <c r="C283" s="159">
        <v>41568</v>
      </c>
      <c r="D283" s="2"/>
    </row>
    <row r="284" spans="1:4" ht="15.75" hidden="1">
      <c r="A284" s="150"/>
      <c r="B284" s="150"/>
      <c r="C284" s="160" t="s">
        <v>191</v>
      </c>
      <c r="D284" s="2"/>
    </row>
    <row r="285" spans="1:5" ht="15" hidden="1">
      <c r="A285" s="2" t="s">
        <v>6</v>
      </c>
      <c r="B285" s="2"/>
      <c r="C285" s="2"/>
      <c r="D285" s="2"/>
      <c r="E285" s="2"/>
    </row>
    <row r="286" spans="1:5" ht="15" hidden="1">
      <c r="A286" s="1" t="s">
        <v>195</v>
      </c>
      <c r="B286" s="1"/>
      <c r="C286" s="1"/>
      <c r="D286" s="1"/>
      <c r="E286" s="1"/>
    </row>
    <row r="287" spans="1:5" ht="15" hidden="1">
      <c r="A287" s="1" t="s">
        <v>7</v>
      </c>
      <c r="B287" s="1"/>
      <c r="C287" s="1"/>
      <c r="D287" s="1"/>
      <c r="E287" s="1"/>
    </row>
    <row r="288" spans="1:5" ht="15" hidden="1">
      <c r="A288" s="252" t="s">
        <v>237</v>
      </c>
      <c r="B288" s="252"/>
      <c r="C288" s="252"/>
      <c r="D288" s="252"/>
      <c r="E288" s="1"/>
    </row>
    <row r="289" spans="1:5" ht="15" hidden="1">
      <c r="A289" s="27" t="s">
        <v>8</v>
      </c>
      <c r="B289" s="27" t="s">
        <v>9</v>
      </c>
      <c r="C289" s="27" t="s">
        <v>10</v>
      </c>
      <c r="D289" s="27" t="s">
        <v>11</v>
      </c>
      <c r="E289" s="27" t="s">
        <v>12</v>
      </c>
    </row>
    <row r="290" spans="1:5" ht="15" hidden="1">
      <c r="A290" s="26">
        <v>1</v>
      </c>
      <c r="B290" s="26">
        <v>2</v>
      </c>
      <c r="C290" s="26">
        <v>3</v>
      </c>
      <c r="D290" s="26">
        <v>4</v>
      </c>
      <c r="E290" s="26">
        <v>5</v>
      </c>
    </row>
    <row r="291" spans="1:5" ht="15" hidden="1">
      <c r="A291" s="38" t="s">
        <v>13</v>
      </c>
      <c r="B291" s="28" t="s">
        <v>14</v>
      </c>
      <c r="C291" s="28"/>
      <c r="D291" s="28"/>
      <c r="E291" s="29"/>
    </row>
    <row r="292" spans="1:5" ht="17.25" hidden="1">
      <c r="A292" s="38" t="s">
        <v>15</v>
      </c>
      <c r="B292" s="141" t="s">
        <v>183</v>
      </c>
      <c r="C292" s="11" t="s">
        <v>59</v>
      </c>
      <c r="D292" s="143" t="s">
        <v>179</v>
      </c>
      <c r="E292" s="241">
        <f>E293+E294</f>
        <v>21.023982316727285</v>
      </c>
    </row>
    <row r="293" spans="1:5" ht="18.75" hidden="1">
      <c r="A293" s="27" t="s">
        <v>16</v>
      </c>
      <c r="B293" s="26" t="s">
        <v>18</v>
      </c>
      <c r="C293" s="13" t="s">
        <v>59</v>
      </c>
      <c r="D293" s="130" t="s">
        <v>171</v>
      </c>
      <c r="E293" s="4">
        <v>4.57</v>
      </c>
    </row>
    <row r="294" spans="1:5" ht="33" hidden="1">
      <c r="A294" s="39" t="s">
        <v>17</v>
      </c>
      <c r="B294" s="158" t="s">
        <v>19</v>
      </c>
      <c r="C294" s="30" t="s">
        <v>59</v>
      </c>
      <c r="D294" s="31" t="s">
        <v>20</v>
      </c>
      <c r="E294" s="243">
        <f>0.28+((4325*E299+((226+106.1)*E303)+509*E307)/(44.84*1000))/10</f>
        <v>16.453982316727284</v>
      </c>
    </row>
    <row r="295" spans="1:5" ht="15" hidden="1">
      <c r="A295" s="27" t="s">
        <v>21</v>
      </c>
      <c r="B295" s="33" t="s">
        <v>22</v>
      </c>
      <c r="C295" s="34"/>
      <c r="D295" s="37"/>
      <c r="E295" s="35"/>
    </row>
    <row r="296" spans="1:5" ht="15" hidden="1">
      <c r="A296" s="53" t="s">
        <v>23</v>
      </c>
      <c r="B296" s="54" t="s">
        <v>24</v>
      </c>
      <c r="C296" s="55"/>
      <c r="D296" s="55"/>
      <c r="E296" s="56"/>
    </row>
    <row r="297" spans="1:5" ht="15" hidden="1">
      <c r="A297" s="27" t="s">
        <v>25</v>
      </c>
      <c r="B297" s="26" t="s">
        <v>26</v>
      </c>
      <c r="C297" s="36" t="s">
        <v>41</v>
      </c>
      <c r="D297" s="26"/>
      <c r="E297" s="242">
        <f>Lapas3!D197</f>
        <v>1231.811794871795</v>
      </c>
    </row>
    <row r="298" spans="1:5" ht="15" hidden="1">
      <c r="A298" s="27" t="s">
        <v>27</v>
      </c>
      <c r="B298" s="26" t="s">
        <v>28</v>
      </c>
      <c r="C298" s="7" t="s">
        <v>41</v>
      </c>
      <c r="D298" s="26"/>
      <c r="E298" s="26">
        <f>275.02+37.53</f>
        <v>312.54999999999995</v>
      </c>
    </row>
    <row r="299" spans="1:5" ht="15" hidden="1">
      <c r="A299" s="27" t="s">
        <v>29</v>
      </c>
      <c r="B299" s="42" t="s">
        <v>30</v>
      </c>
      <c r="C299" s="43" t="s">
        <v>41</v>
      </c>
      <c r="D299" s="26"/>
      <c r="E299" s="242">
        <f>E297+E298</f>
        <v>1544.361794871795</v>
      </c>
    </row>
    <row r="300" spans="1:5" ht="15" hidden="1">
      <c r="A300" s="40" t="s">
        <v>31</v>
      </c>
      <c r="B300" s="45" t="s">
        <v>32</v>
      </c>
      <c r="C300" s="46"/>
      <c r="D300" s="46"/>
      <c r="E300" s="47"/>
    </row>
    <row r="301" spans="1:5" ht="15" hidden="1">
      <c r="A301" s="27" t="s">
        <v>35</v>
      </c>
      <c r="B301" s="26" t="s">
        <v>26</v>
      </c>
      <c r="C301" s="44" t="s">
        <v>33</v>
      </c>
      <c r="D301" s="26"/>
      <c r="E301" s="26"/>
    </row>
    <row r="302" spans="1:5" ht="15" hidden="1">
      <c r="A302" s="27" t="s">
        <v>36</v>
      </c>
      <c r="B302" s="26" t="s">
        <v>28</v>
      </c>
      <c r="C302" s="6" t="s">
        <v>33</v>
      </c>
      <c r="D302" s="26"/>
      <c r="E302" s="26"/>
    </row>
    <row r="303" spans="1:5" ht="15" hidden="1">
      <c r="A303" s="27" t="s">
        <v>37</v>
      </c>
      <c r="B303" s="26" t="s">
        <v>30</v>
      </c>
      <c r="C303" s="48" t="s">
        <v>33</v>
      </c>
      <c r="D303" s="26"/>
      <c r="E303" s="242">
        <v>517.48</v>
      </c>
    </row>
    <row r="304" spans="1:5" ht="15" hidden="1">
      <c r="A304" s="41" t="s">
        <v>34</v>
      </c>
      <c r="B304" s="50" t="s">
        <v>103</v>
      </c>
      <c r="C304" s="51"/>
      <c r="D304" s="51"/>
      <c r="E304" s="52"/>
    </row>
    <row r="305" spans="1:5" ht="15" hidden="1">
      <c r="A305" s="32" t="s">
        <v>38</v>
      </c>
      <c r="B305" s="49" t="s">
        <v>26</v>
      </c>
      <c r="C305" s="44" t="s">
        <v>33</v>
      </c>
      <c r="D305" s="26"/>
      <c r="E305" s="26"/>
    </row>
    <row r="306" spans="1:5" ht="15" hidden="1">
      <c r="A306" s="32" t="s">
        <v>39</v>
      </c>
      <c r="B306" s="26" t="s">
        <v>28</v>
      </c>
      <c r="C306" s="6" t="s">
        <v>33</v>
      </c>
      <c r="D306" s="26"/>
      <c r="E306" s="26"/>
    </row>
    <row r="307" spans="1:5" ht="15" hidden="1">
      <c r="A307" s="23" t="s">
        <v>40</v>
      </c>
      <c r="B307" s="42" t="s">
        <v>30</v>
      </c>
      <c r="C307" s="48" t="s">
        <v>33</v>
      </c>
      <c r="D307" s="26"/>
      <c r="E307" s="26">
        <v>788.2</v>
      </c>
    </row>
    <row r="308" spans="1:5" ht="15" hidden="1">
      <c r="A308" s="57" t="s">
        <v>42</v>
      </c>
      <c r="B308" s="58" t="s">
        <v>43</v>
      </c>
      <c r="C308" s="59"/>
      <c r="D308" s="59"/>
      <c r="E308" s="60"/>
    </row>
    <row r="309" spans="1:5" ht="15" hidden="1">
      <c r="A309" s="26" t="s">
        <v>44</v>
      </c>
      <c r="B309" s="26" t="s">
        <v>104</v>
      </c>
      <c r="C309" s="26"/>
      <c r="D309" s="26"/>
      <c r="E309" s="27" t="s">
        <v>106</v>
      </c>
    </row>
    <row r="310" spans="1:5" ht="15" hidden="1">
      <c r="A310" s="26" t="s">
        <v>45</v>
      </c>
      <c r="B310" s="26" t="s">
        <v>105</v>
      </c>
      <c r="C310" s="13" t="s">
        <v>59</v>
      </c>
      <c r="D310" s="26"/>
      <c r="E310" s="26">
        <v>0</v>
      </c>
    </row>
    <row r="311" spans="1:5" ht="17.25" hidden="1">
      <c r="A311" s="144" t="s">
        <v>46</v>
      </c>
      <c r="B311" s="144" t="s">
        <v>172</v>
      </c>
      <c r="C311" s="148" t="s">
        <v>59</v>
      </c>
      <c r="D311" s="149" t="s">
        <v>181</v>
      </c>
      <c r="E311" s="145"/>
    </row>
    <row r="312" spans="1:5" ht="18.75" hidden="1">
      <c r="A312" s="26" t="s">
        <v>48</v>
      </c>
      <c r="B312" s="26" t="s">
        <v>49</v>
      </c>
      <c r="C312" s="61" t="s">
        <v>59</v>
      </c>
      <c r="D312" s="130" t="s">
        <v>173</v>
      </c>
      <c r="E312" s="242">
        <f>E293</f>
        <v>4.57</v>
      </c>
    </row>
    <row r="313" spans="1:5" ht="33" hidden="1">
      <c r="A313" s="39" t="s">
        <v>50</v>
      </c>
      <c r="B313" s="39" t="s">
        <v>51</v>
      </c>
      <c r="C313" s="30" t="s">
        <v>59</v>
      </c>
      <c r="D313" s="62" t="s">
        <v>20</v>
      </c>
      <c r="E313" s="244">
        <f>E294</f>
        <v>16.453982316727284</v>
      </c>
    </row>
    <row r="314" spans="1:5" ht="15" hidden="1">
      <c r="A314" s="26" t="s">
        <v>52</v>
      </c>
      <c r="B314" s="63" t="s">
        <v>53</v>
      </c>
      <c r="C314" s="37"/>
      <c r="D314" s="37"/>
      <c r="E314" s="35"/>
    </row>
    <row r="315" spans="1:5" ht="15" hidden="1">
      <c r="A315" s="26" t="s">
        <v>54</v>
      </c>
      <c r="B315" s="26" t="s">
        <v>55</v>
      </c>
      <c r="C315" s="13" t="s">
        <v>56</v>
      </c>
      <c r="D315" s="26"/>
      <c r="E315" s="26">
        <v>33.57</v>
      </c>
    </row>
    <row r="316" spans="1:5" ht="15" hidden="1">
      <c r="A316" s="26" t="s">
        <v>57</v>
      </c>
      <c r="B316" s="26" t="s">
        <v>58</v>
      </c>
      <c r="C316" s="13" t="s">
        <v>59</v>
      </c>
      <c r="D316" s="64" t="s">
        <v>47</v>
      </c>
      <c r="E316" s="26"/>
    </row>
    <row r="317" spans="1:5" ht="15" hidden="1">
      <c r="A317" s="38" t="s">
        <v>60</v>
      </c>
      <c r="B317" s="459" t="s">
        <v>61</v>
      </c>
      <c r="C317" s="460"/>
      <c r="D317" s="460"/>
      <c r="E317" s="461"/>
    </row>
    <row r="318" spans="1:5" ht="17.25" hidden="1">
      <c r="A318" s="14" t="s">
        <v>62</v>
      </c>
      <c r="B318" s="18" t="s">
        <v>182</v>
      </c>
      <c r="C318" s="11" t="s">
        <v>59</v>
      </c>
      <c r="D318" s="149" t="s">
        <v>180</v>
      </c>
      <c r="E318" s="241">
        <f>E319+E320</f>
        <v>6.828234892901744</v>
      </c>
    </row>
    <row r="319" spans="1:5" ht="18.75" hidden="1">
      <c r="A319" s="15" t="s">
        <v>63</v>
      </c>
      <c r="B319" s="16" t="s">
        <v>64</v>
      </c>
      <c r="C319" s="13" t="s">
        <v>59</v>
      </c>
      <c r="D319" s="130" t="s">
        <v>174</v>
      </c>
      <c r="E319" s="26">
        <v>2.39</v>
      </c>
    </row>
    <row r="320" spans="1:5" ht="18.75" hidden="1">
      <c r="A320" s="15" t="s">
        <v>65</v>
      </c>
      <c r="B320" s="17" t="s">
        <v>66</v>
      </c>
      <c r="C320" s="22"/>
      <c r="D320" s="142" t="s">
        <v>175</v>
      </c>
      <c r="E320" s="242">
        <f>0.39+(7.24*E292/37.6)</f>
        <v>4.438234892901743</v>
      </c>
    </row>
    <row r="321" spans="1:5" ht="15" hidden="1">
      <c r="A321" s="14" t="s">
        <v>67</v>
      </c>
      <c r="B321" s="18" t="s">
        <v>68</v>
      </c>
      <c r="C321" s="11"/>
      <c r="D321" s="26"/>
      <c r="E321" s="26"/>
    </row>
    <row r="322" spans="1:5" ht="15" hidden="1">
      <c r="A322" s="14" t="s">
        <v>69</v>
      </c>
      <c r="B322" s="19" t="s">
        <v>55</v>
      </c>
      <c r="C322" s="12" t="s">
        <v>56</v>
      </c>
      <c r="D322" s="26"/>
      <c r="E322" s="26"/>
    </row>
    <row r="323" spans="1:5" ht="18.75" hidden="1">
      <c r="A323" s="14" t="s">
        <v>70</v>
      </c>
      <c r="B323" s="19" t="s">
        <v>71</v>
      </c>
      <c r="C323" s="13" t="s">
        <v>59</v>
      </c>
      <c r="D323" s="130" t="s">
        <v>176</v>
      </c>
      <c r="E323" s="26"/>
    </row>
    <row r="324" spans="1:5" ht="15" hidden="1">
      <c r="A324" s="134" t="s">
        <v>72</v>
      </c>
      <c r="B324" s="454" t="s">
        <v>73</v>
      </c>
      <c r="C324" s="455"/>
      <c r="D324" s="455"/>
      <c r="E324" s="456"/>
    </row>
    <row r="325" spans="1:5" ht="15" hidden="1">
      <c r="A325" s="462" t="s">
        <v>79</v>
      </c>
      <c r="B325" s="20" t="s">
        <v>74</v>
      </c>
      <c r="C325" s="13" t="s">
        <v>59</v>
      </c>
      <c r="D325" s="132" t="s">
        <v>106</v>
      </c>
      <c r="E325" s="70">
        <v>0.31</v>
      </c>
    </row>
    <row r="326" spans="1:5" ht="15" hidden="1">
      <c r="A326" s="463"/>
      <c r="B326" s="21" t="s">
        <v>75</v>
      </c>
      <c r="C326" s="61" t="s">
        <v>76</v>
      </c>
      <c r="D326" s="132" t="s">
        <v>106</v>
      </c>
      <c r="E326" s="70">
        <v>2.32</v>
      </c>
    </row>
    <row r="327" spans="1:5" ht="15.75" hidden="1" thickBot="1">
      <c r="A327" s="463"/>
      <c r="B327" s="21" t="s">
        <v>77</v>
      </c>
      <c r="C327" s="131" t="s">
        <v>78</v>
      </c>
      <c r="D327" s="132" t="s">
        <v>106</v>
      </c>
      <c r="E327" s="70">
        <v>46.02</v>
      </c>
    </row>
    <row r="328" spans="1:5" ht="15" hidden="1">
      <c r="A328" s="134" t="s">
        <v>80</v>
      </c>
      <c r="B328" s="135" t="s">
        <v>81</v>
      </c>
      <c r="C328" s="13" t="s">
        <v>59</v>
      </c>
      <c r="D328" s="70"/>
      <c r="E328" s="70">
        <v>0.12</v>
      </c>
    </row>
    <row r="329" spans="1:5" ht="15" hidden="1">
      <c r="A329" s="134" t="s">
        <v>82</v>
      </c>
      <c r="B329" s="135" t="s">
        <v>83</v>
      </c>
      <c r="C329" s="13" t="s">
        <v>59</v>
      </c>
      <c r="D329" s="70"/>
      <c r="E329" s="70">
        <v>-0.27</v>
      </c>
    </row>
    <row r="330" spans="1:5" ht="15" hidden="1">
      <c r="A330" s="134" t="s">
        <v>84</v>
      </c>
      <c r="B330" s="135" t="s">
        <v>177</v>
      </c>
      <c r="C330" s="13" t="s">
        <v>59</v>
      </c>
      <c r="D330" s="70"/>
      <c r="E330" s="247">
        <f>E292+E318+E325+E328+E329</f>
        <v>28.01221720962903</v>
      </c>
    </row>
    <row r="331" spans="1:5" ht="15" hidden="1">
      <c r="A331" s="134" t="s">
        <v>85</v>
      </c>
      <c r="B331" s="135" t="s">
        <v>86</v>
      </c>
      <c r="C331" s="13" t="s">
        <v>59</v>
      </c>
      <c r="D331" s="70"/>
      <c r="E331" s="70">
        <v>0</v>
      </c>
    </row>
    <row r="332" spans="1:5" ht="15" hidden="1">
      <c r="A332" s="134" t="s">
        <v>87</v>
      </c>
      <c r="B332" s="135" t="s">
        <v>88</v>
      </c>
      <c r="C332" s="11" t="s">
        <v>59</v>
      </c>
      <c r="D332" s="137"/>
      <c r="E332" s="247">
        <f>E330</f>
        <v>28.01221720962903</v>
      </c>
    </row>
    <row r="333" spans="1:5" ht="15" hidden="1">
      <c r="A333" s="134" t="s">
        <v>89</v>
      </c>
      <c r="B333" s="135" t="s">
        <v>90</v>
      </c>
      <c r="C333" s="11" t="s">
        <v>59</v>
      </c>
      <c r="D333" s="137"/>
      <c r="E333" s="246">
        <f>E332*1.09</f>
        <v>30.533316758495644</v>
      </c>
    </row>
    <row r="334" spans="1:5" ht="15" hidden="1">
      <c r="A334" s="134" t="s">
        <v>91</v>
      </c>
      <c r="B334" s="135" t="s">
        <v>92</v>
      </c>
      <c r="C334" s="11" t="s">
        <v>59</v>
      </c>
      <c r="D334" s="137"/>
      <c r="E334" s="246">
        <f>E241</f>
        <v>28.203638206268135</v>
      </c>
    </row>
    <row r="335" spans="1:5" ht="15" hidden="1">
      <c r="A335" s="134" t="s">
        <v>93</v>
      </c>
      <c r="B335" s="135" t="s">
        <v>94</v>
      </c>
      <c r="C335" s="134" t="s">
        <v>95</v>
      </c>
      <c r="D335" s="137"/>
      <c r="E335" s="246">
        <f>(28.01/28.2)*100-100</f>
        <v>-0.6737588652482174</v>
      </c>
    </row>
    <row r="336" spans="1:5" ht="15" hidden="1">
      <c r="A336" s="134" t="s">
        <v>96</v>
      </c>
      <c r="B336" s="136" t="s">
        <v>97</v>
      </c>
      <c r="C336" s="138" t="s">
        <v>98</v>
      </c>
      <c r="D336" s="139"/>
      <c r="E336" s="248">
        <f>1069/1000</f>
        <v>1.069</v>
      </c>
    </row>
    <row r="337" spans="1:5" ht="15" hidden="1">
      <c r="A337" s="134" t="s">
        <v>99</v>
      </c>
      <c r="B337" s="136" t="s">
        <v>100</v>
      </c>
      <c r="C337" s="133" t="s">
        <v>98</v>
      </c>
      <c r="D337" s="70"/>
      <c r="E337" s="248">
        <f>672.652/1000</f>
        <v>0.672652</v>
      </c>
    </row>
    <row r="338" spans="1:5" ht="15.75" hidden="1" thickBot="1">
      <c r="A338" s="24" t="s">
        <v>101</v>
      </c>
      <c r="B338" s="25" t="s">
        <v>102</v>
      </c>
      <c r="C338" s="133" t="s">
        <v>98</v>
      </c>
      <c r="D338" s="70"/>
      <c r="E338" s="70">
        <v>0</v>
      </c>
    </row>
    <row r="339" ht="15" hidden="1"/>
    <row r="340" ht="15" hidden="1"/>
    <row r="341" ht="15" hidden="1"/>
    <row r="342" ht="15" hidden="1"/>
    <row r="343" spans="2:4" ht="15" hidden="1">
      <c r="B343" t="s">
        <v>189</v>
      </c>
      <c r="C343" t="s">
        <v>193</v>
      </c>
      <c r="D343" s="155" t="s">
        <v>190</v>
      </c>
    </row>
    <row r="344" ht="15" hidden="1">
      <c r="C344" s="162" t="s">
        <v>194</v>
      </c>
    </row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spans="1:5" ht="15" hidden="1">
      <c r="A365" s="140" t="s">
        <v>0</v>
      </c>
      <c r="B365" s="140"/>
      <c r="C365" s="140"/>
      <c r="D365" s="140"/>
      <c r="E365" s="140" t="s">
        <v>107</v>
      </c>
    </row>
    <row r="366" spans="1:5" ht="15" hidden="1">
      <c r="A366" s="140" t="s">
        <v>1</v>
      </c>
      <c r="B366" s="140"/>
      <c r="C366" s="140"/>
      <c r="D366" s="140" t="s">
        <v>178</v>
      </c>
      <c r="E366" s="3"/>
    </row>
    <row r="367" spans="1:5" ht="15" hidden="1">
      <c r="A367" s="140" t="s">
        <v>2</v>
      </c>
      <c r="B367" s="140"/>
      <c r="C367" s="140"/>
      <c r="D367" s="140" t="s">
        <v>167</v>
      </c>
      <c r="E367" s="5"/>
    </row>
    <row r="368" spans="1:5" ht="15" hidden="1">
      <c r="A368" s="140" t="s">
        <v>3</v>
      </c>
      <c r="B368" s="140"/>
      <c r="C368" s="140"/>
      <c r="D368" s="140" t="s">
        <v>168</v>
      </c>
      <c r="E368" s="3"/>
    </row>
    <row r="369" spans="1:5" ht="15" hidden="1">
      <c r="A369" s="140" t="s">
        <v>4</v>
      </c>
      <c r="B369" s="140"/>
      <c r="C369" s="140"/>
      <c r="D369" s="140" t="s">
        <v>169</v>
      </c>
      <c r="E369" s="3"/>
    </row>
    <row r="370" spans="1:5" ht="15" hidden="1">
      <c r="A370" s="161" t="s">
        <v>192</v>
      </c>
      <c r="B370" s="140"/>
      <c r="C370" s="140"/>
      <c r="D370" s="140"/>
      <c r="E370" s="3"/>
    </row>
    <row r="371" spans="1:5" ht="15" hidden="1">
      <c r="A371" s="140" t="s">
        <v>5</v>
      </c>
      <c r="B371" s="140"/>
      <c r="C371" s="140"/>
      <c r="D371" s="140" t="s">
        <v>170</v>
      </c>
      <c r="E371" s="3"/>
    </row>
    <row r="372" spans="1:5" ht="15" hidden="1">
      <c r="A372" s="1"/>
      <c r="B372" s="1"/>
      <c r="C372" s="1"/>
      <c r="D372" s="1"/>
      <c r="E372" s="1"/>
    </row>
    <row r="373" spans="1:4" ht="15.75" hidden="1">
      <c r="A373" s="150"/>
      <c r="B373" s="150" t="s">
        <v>244</v>
      </c>
      <c r="C373" s="2"/>
      <c r="D373" s="2"/>
    </row>
    <row r="374" spans="1:4" ht="15.75" hidden="1">
      <c r="A374" s="150"/>
      <c r="B374" s="150"/>
      <c r="C374" s="159">
        <v>41599</v>
      </c>
      <c r="D374" s="2"/>
    </row>
    <row r="375" spans="1:4" ht="15.75" hidden="1">
      <c r="A375" s="150"/>
      <c r="B375" s="150"/>
      <c r="C375" s="160" t="s">
        <v>191</v>
      </c>
      <c r="D375" s="2"/>
    </row>
    <row r="376" spans="1:5" ht="15" hidden="1">
      <c r="A376" s="2" t="s">
        <v>6</v>
      </c>
      <c r="B376" s="2"/>
      <c r="C376" s="2"/>
      <c r="D376" s="2"/>
      <c r="E376" s="2"/>
    </row>
    <row r="377" spans="1:5" ht="15" hidden="1">
      <c r="A377" s="1" t="s">
        <v>195</v>
      </c>
      <c r="B377" s="1"/>
      <c r="C377" s="1"/>
      <c r="D377" s="1"/>
      <c r="E377" s="1"/>
    </row>
    <row r="378" spans="1:5" ht="15" hidden="1">
      <c r="A378" s="1" t="s">
        <v>7</v>
      </c>
      <c r="B378" s="1"/>
      <c r="C378" s="1"/>
      <c r="D378" s="1"/>
      <c r="E378" s="1"/>
    </row>
    <row r="379" spans="1:5" ht="15" hidden="1">
      <c r="A379" s="252" t="s">
        <v>237</v>
      </c>
      <c r="B379" s="252"/>
      <c r="C379" s="252"/>
      <c r="D379" s="252"/>
      <c r="E379" s="1"/>
    </row>
    <row r="380" spans="1:5" ht="15" hidden="1">
      <c r="A380" s="27" t="s">
        <v>8</v>
      </c>
      <c r="B380" s="27" t="s">
        <v>9</v>
      </c>
      <c r="C380" s="27" t="s">
        <v>10</v>
      </c>
      <c r="D380" s="27" t="s">
        <v>11</v>
      </c>
      <c r="E380" s="27" t="s">
        <v>12</v>
      </c>
    </row>
    <row r="381" spans="1:5" ht="15" hidden="1">
      <c r="A381" s="26">
        <v>1</v>
      </c>
      <c r="B381" s="26">
        <v>2</v>
      </c>
      <c r="C381" s="26">
        <v>3</v>
      </c>
      <c r="D381" s="26">
        <v>4</v>
      </c>
      <c r="E381" s="26">
        <v>5</v>
      </c>
    </row>
    <row r="382" spans="1:5" ht="15" hidden="1">
      <c r="A382" s="38" t="s">
        <v>13</v>
      </c>
      <c r="B382" s="28" t="s">
        <v>14</v>
      </c>
      <c r="C382" s="28"/>
      <c r="D382" s="28"/>
      <c r="E382" s="29"/>
    </row>
    <row r="383" spans="1:5" ht="17.25" hidden="1">
      <c r="A383" s="38" t="s">
        <v>15</v>
      </c>
      <c r="B383" s="141" t="s">
        <v>183</v>
      </c>
      <c r="C383" s="11" t="s">
        <v>59</v>
      </c>
      <c r="D383" s="143" t="s">
        <v>179</v>
      </c>
      <c r="E383" s="241">
        <f>E384+E385</f>
        <v>20.676863839632677</v>
      </c>
    </row>
    <row r="384" spans="1:5" ht="18.75" hidden="1">
      <c r="A384" s="27" t="s">
        <v>16</v>
      </c>
      <c r="B384" s="26" t="s">
        <v>18</v>
      </c>
      <c r="C384" s="13" t="s">
        <v>59</v>
      </c>
      <c r="D384" s="130" t="s">
        <v>171</v>
      </c>
      <c r="E384" s="4">
        <v>4.57</v>
      </c>
    </row>
    <row r="385" spans="1:5" ht="33" hidden="1">
      <c r="A385" s="39" t="s">
        <v>17</v>
      </c>
      <c r="B385" s="158" t="s">
        <v>19</v>
      </c>
      <c r="C385" s="30" t="s">
        <v>59</v>
      </c>
      <c r="D385" s="31" t="s">
        <v>20</v>
      </c>
      <c r="E385" s="299">
        <f>0.28+((4325*E390+((226+106.1)*E394)+509*E398)/(44.84*1000))/10</f>
        <v>16.106863839632677</v>
      </c>
    </row>
    <row r="386" spans="1:5" ht="15" hidden="1">
      <c r="A386" s="27" t="s">
        <v>21</v>
      </c>
      <c r="B386" s="33" t="s">
        <v>22</v>
      </c>
      <c r="C386" s="34"/>
      <c r="D386" s="37"/>
      <c r="E386" s="35"/>
    </row>
    <row r="387" spans="1:5" ht="15" hidden="1">
      <c r="A387" s="53" t="s">
        <v>23</v>
      </c>
      <c r="B387" s="54" t="s">
        <v>24</v>
      </c>
      <c r="C387" s="55"/>
      <c r="D387" s="55"/>
      <c r="E387" s="56"/>
    </row>
    <row r="388" spans="1:5" ht="15" hidden="1">
      <c r="A388" s="27" t="s">
        <v>25</v>
      </c>
      <c r="B388" s="26" t="s">
        <v>26</v>
      </c>
      <c r="C388" s="36" t="s">
        <v>41</v>
      </c>
      <c r="D388" s="26"/>
      <c r="E388" s="242">
        <f>Lapas3!D263</f>
        <v>1213.681120943953</v>
      </c>
    </row>
    <row r="389" spans="1:5" ht="15" hidden="1">
      <c r="A389" s="27" t="s">
        <v>27</v>
      </c>
      <c r="B389" s="26" t="s">
        <v>28</v>
      </c>
      <c r="C389" s="7" t="s">
        <v>41</v>
      </c>
      <c r="D389" s="26"/>
      <c r="E389" s="26">
        <f>275.02+37.53</f>
        <v>312.54999999999995</v>
      </c>
    </row>
    <row r="390" spans="1:5" ht="15" hidden="1">
      <c r="A390" s="27" t="s">
        <v>29</v>
      </c>
      <c r="B390" s="42" t="s">
        <v>30</v>
      </c>
      <c r="C390" s="43" t="s">
        <v>41</v>
      </c>
      <c r="D390" s="26"/>
      <c r="E390" s="298">
        <f>E388+E389</f>
        <v>1526.2311209439529</v>
      </c>
    </row>
    <row r="391" spans="1:5" ht="15" hidden="1">
      <c r="A391" s="40" t="s">
        <v>31</v>
      </c>
      <c r="B391" s="45" t="s">
        <v>32</v>
      </c>
      <c r="C391" s="46"/>
      <c r="D391" s="46"/>
      <c r="E391" s="47"/>
    </row>
    <row r="392" spans="1:5" ht="15" hidden="1">
      <c r="A392" s="27" t="s">
        <v>35</v>
      </c>
      <c r="B392" s="26" t="s">
        <v>26</v>
      </c>
      <c r="C392" s="44" t="s">
        <v>33</v>
      </c>
      <c r="D392" s="26"/>
      <c r="E392" s="242">
        <f>Lapas3!D289/Lapas3!D288*1000</f>
        <v>251.0326086956522</v>
      </c>
    </row>
    <row r="393" spans="1:5" ht="15" hidden="1">
      <c r="A393" s="27" t="s">
        <v>36</v>
      </c>
      <c r="B393" s="26" t="s">
        <v>28</v>
      </c>
      <c r="C393" s="6" t="s">
        <v>33</v>
      </c>
      <c r="D393" s="26"/>
      <c r="E393" s="242">
        <f>Lapas3!D290*1000/Lapas3!D288</f>
        <v>48.586956521739125</v>
      </c>
    </row>
    <row r="394" spans="1:5" ht="15" hidden="1">
      <c r="A394" s="27" t="s">
        <v>37</v>
      </c>
      <c r="B394" s="26" t="s">
        <v>30</v>
      </c>
      <c r="C394" s="48" t="s">
        <v>33</v>
      </c>
      <c r="D394" s="26"/>
      <c r="E394" s="298">
        <f>SUM(E392:E393)</f>
        <v>299.6195652173913</v>
      </c>
    </row>
    <row r="395" spans="1:5" ht="15" hidden="1">
      <c r="A395" s="41" t="s">
        <v>34</v>
      </c>
      <c r="B395" s="50" t="s">
        <v>103</v>
      </c>
      <c r="C395" s="51"/>
      <c r="D395" s="51"/>
      <c r="E395" s="52"/>
    </row>
    <row r="396" spans="1:5" ht="15" hidden="1">
      <c r="A396" s="32" t="s">
        <v>38</v>
      </c>
      <c r="B396" s="49" t="s">
        <v>26</v>
      </c>
      <c r="C396" s="44" t="s">
        <v>33</v>
      </c>
      <c r="D396" s="26"/>
      <c r="E396" s="242">
        <f>Lapas3!D271</f>
        <v>808.3763115774498</v>
      </c>
    </row>
    <row r="397" spans="1:5" ht="15" hidden="1">
      <c r="A397" s="32" t="s">
        <v>39</v>
      </c>
      <c r="B397" s="26" t="s">
        <v>28</v>
      </c>
      <c r="C397" s="6" t="s">
        <v>33</v>
      </c>
      <c r="D397" s="26"/>
      <c r="E397" s="26"/>
    </row>
    <row r="398" spans="1:5" ht="15" hidden="1">
      <c r="A398" s="23" t="s">
        <v>40</v>
      </c>
      <c r="B398" s="42" t="s">
        <v>30</v>
      </c>
      <c r="C398" s="48" t="s">
        <v>33</v>
      </c>
      <c r="D398" s="26"/>
      <c r="E398" s="298">
        <v>778.61</v>
      </c>
    </row>
    <row r="399" spans="1:5" ht="15" hidden="1">
      <c r="A399" s="57" t="s">
        <v>42</v>
      </c>
      <c r="B399" s="58" t="s">
        <v>43</v>
      </c>
      <c r="C399" s="59"/>
      <c r="D399" s="59"/>
      <c r="E399" s="60"/>
    </row>
    <row r="400" spans="1:5" ht="15" hidden="1">
      <c r="A400" s="26" t="s">
        <v>44</v>
      </c>
      <c r="B400" s="26" t="s">
        <v>104</v>
      </c>
      <c r="C400" s="26"/>
      <c r="D400" s="26"/>
      <c r="E400" s="27" t="s">
        <v>106</v>
      </c>
    </row>
    <row r="401" spans="1:5" ht="15" hidden="1">
      <c r="A401" s="26" t="s">
        <v>45</v>
      </c>
      <c r="B401" s="26" t="s">
        <v>105</v>
      </c>
      <c r="C401" s="13" t="s">
        <v>59</v>
      </c>
      <c r="D401" s="26"/>
      <c r="E401" s="26">
        <v>0</v>
      </c>
    </row>
    <row r="402" spans="1:5" ht="17.25" hidden="1">
      <c r="A402" s="144" t="s">
        <v>46</v>
      </c>
      <c r="B402" s="144" t="s">
        <v>172</v>
      </c>
      <c r="C402" s="148" t="s">
        <v>59</v>
      </c>
      <c r="D402" s="149" t="s">
        <v>181</v>
      </c>
      <c r="E402" s="145"/>
    </row>
    <row r="403" spans="1:5" ht="18.75" hidden="1">
      <c r="A403" s="26" t="s">
        <v>48</v>
      </c>
      <c r="B403" s="26" t="s">
        <v>49</v>
      </c>
      <c r="C403" s="61" t="s">
        <v>59</v>
      </c>
      <c r="D403" s="130" t="s">
        <v>173</v>
      </c>
      <c r="E403" s="242">
        <f>E384</f>
        <v>4.57</v>
      </c>
    </row>
    <row r="404" spans="1:5" ht="33" hidden="1">
      <c r="A404" s="39" t="s">
        <v>50</v>
      </c>
      <c r="B404" s="39" t="s">
        <v>51</v>
      </c>
      <c r="C404" s="30" t="s">
        <v>59</v>
      </c>
      <c r="D404" s="62" t="s">
        <v>20</v>
      </c>
      <c r="E404" s="244">
        <f>E385</f>
        <v>16.106863839632677</v>
      </c>
    </row>
    <row r="405" spans="1:5" ht="15" hidden="1">
      <c r="A405" s="26" t="s">
        <v>52</v>
      </c>
      <c r="B405" s="63" t="s">
        <v>53</v>
      </c>
      <c r="C405" s="37"/>
      <c r="D405" s="37"/>
      <c r="E405" s="35"/>
    </row>
    <row r="406" spans="1:5" ht="15" hidden="1">
      <c r="A406" s="26" t="s">
        <v>54</v>
      </c>
      <c r="B406" s="26" t="s">
        <v>55</v>
      </c>
      <c r="C406" s="13" t="s">
        <v>56</v>
      </c>
      <c r="D406" s="26"/>
      <c r="E406" s="26">
        <v>33.57</v>
      </c>
    </row>
    <row r="407" spans="1:5" ht="15" hidden="1">
      <c r="A407" s="26" t="s">
        <v>57</v>
      </c>
      <c r="B407" s="26" t="s">
        <v>58</v>
      </c>
      <c r="C407" s="13" t="s">
        <v>59</v>
      </c>
      <c r="D407" s="64" t="s">
        <v>47</v>
      </c>
      <c r="E407" s="26"/>
    </row>
    <row r="408" spans="1:5" ht="15" hidden="1">
      <c r="A408" s="38" t="s">
        <v>60</v>
      </c>
      <c r="B408" s="459" t="s">
        <v>61</v>
      </c>
      <c r="C408" s="460"/>
      <c r="D408" s="460"/>
      <c r="E408" s="461"/>
    </row>
    <row r="409" spans="1:5" ht="17.25" hidden="1">
      <c r="A409" s="14" t="s">
        <v>62</v>
      </c>
      <c r="B409" s="18" t="s">
        <v>182</v>
      </c>
      <c r="C409" s="11" t="s">
        <v>59</v>
      </c>
      <c r="D409" s="149" t="s">
        <v>180</v>
      </c>
      <c r="E409" s="241">
        <f>E410+E411</f>
        <v>6.761396122312249</v>
      </c>
    </row>
    <row r="410" spans="1:5" ht="18.75" hidden="1">
      <c r="A410" s="15" t="s">
        <v>63</v>
      </c>
      <c r="B410" s="16" t="s">
        <v>64</v>
      </c>
      <c r="C410" s="13" t="s">
        <v>59</v>
      </c>
      <c r="D410" s="130" t="s">
        <v>174</v>
      </c>
      <c r="E410" s="26">
        <v>2.39</v>
      </c>
    </row>
    <row r="411" spans="1:5" ht="18.75" hidden="1">
      <c r="A411" s="15" t="s">
        <v>65</v>
      </c>
      <c r="B411" s="17" t="s">
        <v>66</v>
      </c>
      <c r="C411" s="22"/>
      <c r="D411" s="142" t="s">
        <v>175</v>
      </c>
      <c r="E411" s="242">
        <f>0.39+(7.24*E383/37.6)</f>
        <v>4.371396122312249</v>
      </c>
    </row>
    <row r="412" spans="1:5" ht="15" hidden="1">
      <c r="A412" s="14" t="s">
        <v>67</v>
      </c>
      <c r="B412" s="18" t="s">
        <v>68</v>
      </c>
      <c r="C412" s="11"/>
      <c r="D412" s="26"/>
      <c r="E412" s="26"/>
    </row>
    <row r="413" spans="1:5" ht="15" hidden="1">
      <c r="A413" s="14" t="s">
        <v>69</v>
      </c>
      <c r="B413" s="19" t="s">
        <v>55</v>
      </c>
      <c r="C413" s="12" t="s">
        <v>56</v>
      </c>
      <c r="D413" s="26"/>
      <c r="E413" s="26"/>
    </row>
    <row r="414" spans="1:5" ht="18.75" hidden="1">
      <c r="A414" s="14" t="s">
        <v>70</v>
      </c>
      <c r="B414" s="19" t="s">
        <v>71</v>
      </c>
      <c r="C414" s="13" t="s">
        <v>59</v>
      </c>
      <c r="D414" s="130" t="s">
        <v>176</v>
      </c>
      <c r="E414" s="26"/>
    </row>
    <row r="415" spans="1:5" ht="15" hidden="1">
      <c r="A415" s="134" t="s">
        <v>72</v>
      </c>
      <c r="B415" s="454" t="s">
        <v>73</v>
      </c>
      <c r="C415" s="455"/>
      <c r="D415" s="455"/>
      <c r="E415" s="456"/>
    </row>
    <row r="416" spans="1:5" ht="15" hidden="1">
      <c r="A416" s="462" t="s">
        <v>79</v>
      </c>
      <c r="B416" s="20" t="s">
        <v>74</v>
      </c>
      <c r="C416" s="13" t="s">
        <v>59</v>
      </c>
      <c r="D416" s="132" t="s">
        <v>106</v>
      </c>
      <c r="E416" s="70">
        <v>0.31</v>
      </c>
    </row>
    <row r="417" spans="1:5" ht="15" hidden="1">
      <c r="A417" s="463"/>
      <c r="B417" s="21" t="s">
        <v>75</v>
      </c>
      <c r="C417" s="61" t="s">
        <v>76</v>
      </c>
      <c r="D417" s="132" t="s">
        <v>106</v>
      </c>
      <c r="E417" s="70">
        <v>2.32</v>
      </c>
    </row>
    <row r="418" spans="1:5" ht="15.75" hidden="1" thickBot="1">
      <c r="A418" s="463"/>
      <c r="B418" s="21" t="s">
        <v>77</v>
      </c>
      <c r="C418" s="131" t="s">
        <v>78</v>
      </c>
      <c r="D418" s="132" t="s">
        <v>106</v>
      </c>
      <c r="E418" s="70">
        <v>46.02</v>
      </c>
    </row>
    <row r="419" spans="1:5" ht="15" hidden="1">
      <c r="A419" s="134" t="s">
        <v>80</v>
      </c>
      <c r="B419" s="135" t="s">
        <v>81</v>
      </c>
      <c r="C419" s="13" t="s">
        <v>59</v>
      </c>
      <c r="D419" s="70"/>
      <c r="E419" s="70">
        <v>0.12</v>
      </c>
    </row>
    <row r="420" spans="1:5" ht="15" hidden="1">
      <c r="A420" s="134" t="s">
        <v>82</v>
      </c>
      <c r="B420" s="135" t="s">
        <v>83</v>
      </c>
      <c r="C420" s="13" t="s">
        <v>59</v>
      </c>
      <c r="D420" s="70"/>
      <c r="E420" s="70">
        <v>-0.27</v>
      </c>
    </row>
    <row r="421" spans="1:5" ht="15" hidden="1">
      <c r="A421" s="134" t="s">
        <v>84</v>
      </c>
      <c r="B421" s="135" t="s">
        <v>177</v>
      </c>
      <c r="C421" s="13" t="s">
        <v>59</v>
      </c>
      <c r="D421" s="70"/>
      <c r="E421" s="247">
        <f>E383+E409+E416+E419+E420</f>
        <v>27.598259961944926</v>
      </c>
    </row>
    <row r="422" spans="1:5" ht="15" hidden="1">
      <c r="A422" s="134" t="s">
        <v>85</v>
      </c>
      <c r="B422" s="135" t="s">
        <v>86</v>
      </c>
      <c r="C422" s="13" t="s">
        <v>59</v>
      </c>
      <c r="D422" s="70"/>
      <c r="E422" s="70">
        <v>0</v>
      </c>
    </row>
    <row r="423" spans="1:5" ht="15" hidden="1">
      <c r="A423" s="134" t="s">
        <v>87</v>
      </c>
      <c r="B423" s="135" t="s">
        <v>88</v>
      </c>
      <c r="C423" s="11" t="s">
        <v>59</v>
      </c>
      <c r="D423" s="137"/>
      <c r="E423" s="247">
        <f>E421</f>
        <v>27.598259961944926</v>
      </c>
    </row>
    <row r="424" spans="1:5" ht="15" hidden="1">
      <c r="A424" s="134" t="s">
        <v>89</v>
      </c>
      <c r="B424" s="135" t="s">
        <v>90</v>
      </c>
      <c r="C424" s="11" t="s">
        <v>59</v>
      </c>
      <c r="D424" s="137"/>
      <c r="E424" s="246">
        <f>E423*1.09</f>
        <v>30.082103358519973</v>
      </c>
    </row>
    <row r="425" spans="1:5" ht="15" hidden="1">
      <c r="A425" s="134" t="s">
        <v>91</v>
      </c>
      <c r="B425" s="135" t="s">
        <v>92</v>
      </c>
      <c r="C425" s="11" t="s">
        <v>59</v>
      </c>
      <c r="D425" s="137"/>
      <c r="E425" s="246">
        <f>E332</f>
        <v>28.01221720962903</v>
      </c>
    </row>
    <row r="426" spans="1:5" ht="15" hidden="1">
      <c r="A426" s="134" t="s">
        <v>93</v>
      </c>
      <c r="B426" s="135" t="s">
        <v>94</v>
      </c>
      <c r="C426" s="134" t="s">
        <v>95</v>
      </c>
      <c r="D426" s="137"/>
      <c r="E426" s="246">
        <f>(E421/E425)*100-100</f>
        <v>-1.477773946225895</v>
      </c>
    </row>
    <row r="427" spans="1:5" ht="15" hidden="1">
      <c r="A427" s="134" t="s">
        <v>96</v>
      </c>
      <c r="B427" s="136" t="s">
        <v>97</v>
      </c>
      <c r="C427" s="138" t="s">
        <v>98</v>
      </c>
      <c r="D427" s="139"/>
      <c r="E427" s="248">
        <v>3.45</v>
      </c>
    </row>
    <row r="428" spans="1:5" ht="15" hidden="1">
      <c r="A428" s="134" t="s">
        <v>99</v>
      </c>
      <c r="B428" s="136" t="s">
        <v>100</v>
      </c>
      <c r="C428" s="133" t="s">
        <v>98</v>
      </c>
      <c r="D428" s="70"/>
      <c r="E428" s="248">
        <v>2.78</v>
      </c>
    </row>
    <row r="429" spans="1:5" ht="15.75" hidden="1" thickBot="1">
      <c r="A429" s="24" t="s">
        <v>101</v>
      </c>
      <c r="B429" s="25" t="s">
        <v>102</v>
      </c>
      <c r="C429" s="133" t="s">
        <v>98</v>
      </c>
      <c r="D429" s="70"/>
      <c r="E429" s="70">
        <v>0</v>
      </c>
    </row>
    <row r="430" ht="15" hidden="1"/>
    <row r="431" ht="15" hidden="1"/>
    <row r="432" ht="15" hidden="1"/>
    <row r="433" ht="15" hidden="1">
      <c r="B433" s="314" t="s">
        <v>253</v>
      </c>
    </row>
    <row r="434" spans="1:7" ht="15" hidden="1">
      <c r="A434" s="315" t="s">
        <v>254</v>
      </c>
      <c r="B434" s="315"/>
      <c r="C434" s="315"/>
      <c r="D434" s="315"/>
      <c r="E434" s="315"/>
      <c r="F434" s="315"/>
      <c r="G434" s="315"/>
    </row>
    <row r="435" spans="1:7" ht="15" hidden="1">
      <c r="A435" s="315" t="s">
        <v>255</v>
      </c>
      <c r="B435" s="315"/>
      <c r="C435" s="315"/>
      <c r="D435" s="315"/>
      <c r="E435" s="315"/>
      <c r="F435" s="315"/>
      <c r="G435" s="315"/>
    </row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spans="2:4" ht="15" hidden="1">
      <c r="B447" t="s">
        <v>189</v>
      </c>
      <c r="C447" t="s">
        <v>193</v>
      </c>
      <c r="D447" s="155" t="s">
        <v>190</v>
      </c>
    </row>
    <row r="448" ht="15" hidden="1">
      <c r="C448" s="162" t="s">
        <v>194</v>
      </c>
    </row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spans="1:5" ht="15" hidden="1">
      <c r="A456" s="140" t="s">
        <v>0</v>
      </c>
      <c r="B456" s="140"/>
      <c r="C456" s="140"/>
      <c r="D456" s="140"/>
      <c r="E456" s="140" t="s">
        <v>107</v>
      </c>
    </row>
    <row r="457" spans="1:5" ht="15" hidden="1">
      <c r="A457" s="140" t="s">
        <v>1</v>
      </c>
      <c r="B457" s="140"/>
      <c r="C457" s="140"/>
      <c r="D457" s="140" t="s">
        <v>178</v>
      </c>
      <c r="E457" s="3"/>
    </row>
    <row r="458" spans="1:5" ht="15" hidden="1">
      <c r="A458" s="140" t="s">
        <v>2</v>
      </c>
      <c r="B458" s="140"/>
      <c r="C458" s="140"/>
      <c r="D458" s="140" t="s">
        <v>167</v>
      </c>
      <c r="E458" s="5"/>
    </row>
    <row r="459" spans="1:5" ht="15" hidden="1">
      <c r="A459" s="140" t="s">
        <v>3</v>
      </c>
      <c r="B459" s="140"/>
      <c r="C459" s="140"/>
      <c r="D459" s="140" t="s">
        <v>168</v>
      </c>
      <c r="E459" s="3"/>
    </row>
    <row r="460" spans="1:5" ht="15" hidden="1">
      <c r="A460" s="140" t="s">
        <v>4</v>
      </c>
      <c r="B460" s="140"/>
      <c r="C460" s="140"/>
      <c r="D460" s="140" t="s">
        <v>169</v>
      </c>
      <c r="E460" s="3"/>
    </row>
    <row r="461" spans="1:5" ht="15" hidden="1">
      <c r="A461" s="161" t="s">
        <v>192</v>
      </c>
      <c r="B461" s="140"/>
      <c r="C461" s="140"/>
      <c r="D461" s="140"/>
      <c r="E461" s="3"/>
    </row>
    <row r="462" spans="1:5" ht="15" hidden="1">
      <c r="A462" s="140" t="s">
        <v>5</v>
      </c>
      <c r="B462" s="140"/>
      <c r="C462" s="140"/>
      <c r="D462" s="140" t="s">
        <v>170</v>
      </c>
      <c r="E462" s="3"/>
    </row>
    <row r="463" spans="1:5" ht="15" hidden="1">
      <c r="A463" s="1"/>
      <c r="B463" s="1"/>
      <c r="C463" s="1"/>
      <c r="D463" s="1"/>
      <c r="E463" s="1"/>
    </row>
    <row r="464" spans="1:4" ht="15.75" hidden="1">
      <c r="A464" s="150"/>
      <c r="B464" s="150" t="s">
        <v>258</v>
      </c>
      <c r="C464" s="2"/>
      <c r="D464" s="2"/>
    </row>
    <row r="465" spans="1:4" ht="15.75" hidden="1">
      <c r="A465" s="150"/>
      <c r="B465" s="150"/>
      <c r="C465" s="159">
        <v>41627</v>
      </c>
      <c r="D465" s="2"/>
    </row>
    <row r="466" spans="1:4" ht="15.75" hidden="1">
      <c r="A466" s="150"/>
      <c r="B466" s="150"/>
      <c r="C466" s="160" t="s">
        <v>191</v>
      </c>
      <c r="D466" s="2"/>
    </row>
    <row r="467" spans="1:5" ht="15" hidden="1">
      <c r="A467" s="2" t="s">
        <v>6</v>
      </c>
      <c r="B467" s="2"/>
      <c r="C467" s="2"/>
      <c r="D467" s="2"/>
      <c r="E467" s="2"/>
    </row>
    <row r="468" spans="1:5" ht="15" hidden="1">
      <c r="A468" s="1" t="s">
        <v>260</v>
      </c>
      <c r="B468" s="1"/>
      <c r="C468" s="1"/>
      <c r="D468" s="1"/>
      <c r="E468" s="1"/>
    </row>
    <row r="469" spans="1:5" ht="15" hidden="1">
      <c r="A469" s="1" t="s">
        <v>7</v>
      </c>
      <c r="B469" s="1"/>
      <c r="C469" s="1"/>
      <c r="D469" s="1"/>
      <c r="E469" s="1"/>
    </row>
    <row r="470" spans="1:5" ht="15.75" hidden="1" thickBot="1">
      <c r="A470" s="252" t="s">
        <v>237</v>
      </c>
      <c r="B470" s="252"/>
      <c r="C470" s="252"/>
      <c r="D470" s="252"/>
      <c r="E470" s="1"/>
    </row>
    <row r="471" spans="1:5" ht="15" hidden="1">
      <c r="A471" s="253" t="s">
        <v>8</v>
      </c>
      <c r="B471" s="254" t="s">
        <v>9</v>
      </c>
      <c r="C471" s="254" t="s">
        <v>10</v>
      </c>
      <c r="D471" s="254" t="s">
        <v>11</v>
      </c>
      <c r="E471" s="256" t="s">
        <v>12</v>
      </c>
    </row>
    <row r="472" spans="1:5" ht="15" hidden="1">
      <c r="A472" s="257">
        <v>1</v>
      </c>
      <c r="B472" s="26">
        <v>2</v>
      </c>
      <c r="C472" s="26">
        <v>3</v>
      </c>
      <c r="D472" s="26">
        <v>4</v>
      </c>
      <c r="E472" s="258">
        <v>5</v>
      </c>
    </row>
    <row r="473" spans="1:5" ht="15" hidden="1">
      <c r="A473" s="324" t="s">
        <v>13</v>
      </c>
      <c r="B473" s="28" t="s">
        <v>14</v>
      </c>
      <c r="C473" s="28"/>
      <c r="D473" s="28"/>
      <c r="E473" s="325"/>
    </row>
    <row r="474" spans="1:5" ht="17.25" hidden="1">
      <c r="A474" s="324" t="s">
        <v>15</v>
      </c>
      <c r="B474" s="141" t="s">
        <v>183</v>
      </c>
      <c r="C474" s="11" t="s">
        <v>59</v>
      </c>
      <c r="D474" s="326" t="s">
        <v>179</v>
      </c>
      <c r="E474" s="327">
        <f>E475+E476</f>
        <v>21.046807413741107</v>
      </c>
    </row>
    <row r="475" spans="1:5" ht="18.75" hidden="1">
      <c r="A475" s="328" t="s">
        <v>16</v>
      </c>
      <c r="B475" s="26" t="s">
        <v>18</v>
      </c>
      <c r="C475" s="13" t="s">
        <v>59</v>
      </c>
      <c r="D475" s="130" t="s">
        <v>171</v>
      </c>
      <c r="E475" s="4">
        <v>4.57</v>
      </c>
    </row>
    <row r="476" spans="1:5" ht="33" hidden="1">
      <c r="A476" s="329" t="s">
        <v>17</v>
      </c>
      <c r="B476" s="158" t="s">
        <v>19</v>
      </c>
      <c r="C476" s="30" t="s">
        <v>59</v>
      </c>
      <c r="D476" s="31" t="s">
        <v>20</v>
      </c>
      <c r="E476" s="330">
        <f>0.28+((4325*E481+((226+106.1)*E485)+509*E489)/(44.84*1000))/10</f>
        <v>16.476807413741106</v>
      </c>
    </row>
    <row r="477" spans="1:5" ht="15" hidden="1">
      <c r="A477" s="328" t="s">
        <v>21</v>
      </c>
      <c r="B477" s="33" t="s">
        <v>22</v>
      </c>
      <c r="C477" s="34"/>
      <c r="D477" s="37"/>
      <c r="E477" s="331"/>
    </row>
    <row r="478" spans="1:5" ht="15" hidden="1">
      <c r="A478" s="332" t="s">
        <v>23</v>
      </c>
      <c r="B478" s="54" t="s">
        <v>24</v>
      </c>
      <c r="C478" s="55"/>
      <c r="D478" s="55"/>
      <c r="E478" s="333"/>
    </row>
    <row r="479" spans="1:5" ht="15" hidden="1">
      <c r="A479" s="328" t="s">
        <v>25</v>
      </c>
      <c r="B479" s="26" t="s">
        <v>26</v>
      </c>
      <c r="C479" s="36" t="s">
        <v>41</v>
      </c>
      <c r="D479" s="26"/>
      <c r="E479" s="334">
        <f>Lapas3!D335</f>
        <v>1228.0538770685578</v>
      </c>
    </row>
    <row r="480" spans="1:5" ht="15" hidden="1">
      <c r="A480" s="328" t="s">
        <v>27</v>
      </c>
      <c r="B480" s="26" t="s">
        <v>28</v>
      </c>
      <c r="C480" s="7" t="s">
        <v>41</v>
      </c>
      <c r="D480" s="26"/>
      <c r="E480" s="258">
        <f>275.02+37.53</f>
        <v>312.54999999999995</v>
      </c>
    </row>
    <row r="481" spans="1:5" ht="15" hidden="1">
      <c r="A481" s="328" t="s">
        <v>29</v>
      </c>
      <c r="B481" s="42" t="s">
        <v>30</v>
      </c>
      <c r="C481" s="43" t="s">
        <v>41</v>
      </c>
      <c r="D481" s="26"/>
      <c r="E481" s="335">
        <f>E479+E480</f>
        <v>1540.6038770685577</v>
      </c>
    </row>
    <row r="482" spans="1:5" ht="15" hidden="1">
      <c r="A482" s="336" t="s">
        <v>31</v>
      </c>
      <c r="B482" s="45" t="s">
        <v>32</v>
      </c>
      <c r="C482" s="46"/>
      <c r="D482" s="46"/>
      <c r="E482" s="337"/>
    </row>
    <row r="483" spans="1:5" ht="15" hidden="1">
      <c r="A483" s="328" t="s">
        <v>35</v>
      </c>
      <c r="B483" s="26" t="s">
        <v>26</v>
      </c>
      <c r="C483" s="44" t="s">
        <v>33</v>
      </c>
      <c r="D483" s="26"/>
      <c r="E483" s="334"/>
    </row>
    <row r="484" spans="1:5" ht="15" hidden="1">
      <c r="A484" s="328" t="s">
        <v>36</v>
      </c>
      <c r="B484" s="26" t="s">
        <v>28</v>
      </c>
      <c r="C484" s="6" t="s">
        <v>33</v>
      </c>
      <c r="D484" s="26"/>
      <c r="E484" s="334"/>
    </row>
    <row r="485" spans="1:5" ht="15" hidden="1">
      <c r="A485" s="328" t="s">
        <v>37</v>
      </c>
      <c r="B485" s="26" t="s">
        <v>30</v>
      </c>
      <c r="C485" s="48" t="s">
        <v>33</v>
      </c>
      <c r="D485" s="26"/>
      <c r="E485" s="335">
        <v>593.56</v>
      </c>
    </row>
    <row r="486" spans="1:5" ht="15" hidden="1">
      <c r="A486" s="338" t="s">
        <v>34</v>
      </c>
      <c r="B486" s="50" t="s">
        <v>103</v>
      </c>
      <c r="C486" s="51"/>
      <c r="D486" s="51"/>
      <c r="E486" s="339"/>
    </row>
    <row r="487" spans="1:5" ht="15" hidden="1">
      <c r="A487" s="340" t="s">
        <v>38</v>
      </c>
      <c r="B487" s="49" t="s">
        <v>26</v>
      </c>
      <c r="C487" s="44" t="s">
        <v>33</v>
      </c>
      <c r="D487" s="26"/>
      <c r="E487" s="334">
        <f>Lapas3!D362</f>
        <v>0</v>
      </c>
    </row>
    <row r="488" spans="1:5" ht="15" hidden="1">
      <c r="A488" s="340" t="s">
        <v>39</v>
      </c>
      <c r="B488" s="26" t="s">
        <v>28</v>
      </c>
      <c r="C488" s="6" t="s">
        <v>33</v>
      </c>
      <c r="D488" s="26"/>
      <c r="E488" s="258"/>
    </row>
    <row r="489" spans="1:5" ht="15" hidden="1">
      <c r="A489" s="23" t="s">
        <v>40</v>
      </c>
      <c r="B489" s="42" t="s">
        <v>30</v>
      </c>
      <c r="C489" s="48" t="s">
        <v>33</v>
      </c>
      <c r="D489" s="26"/>
      <c r="E489" s="335">
        <v>790.6</v>
      </c>
    </row>
    <row r="490" spans="1:5" ht="15" hidden="1">
      <c r="A490" s="341" t="s">
        <v>42</v>
      </c>
      <c r="B490" s="58" t="s">
        <v>43</v>
      </c>
      <c r="C490" s="59"/>
      <c r="D490" s="59"/>
      <c r="E490" s="342"/>
    </row>
    <row r="491" spans="1:5" ht="15" hidden="1">
      <c r="A491" s="257" t="s">
        <v>44</v>
      </c>
      <c r="B491" s="26" t="s">
        <v>104</v>
      </c>
      <c r="C491" s="26"/>
      <c r="D491" s="26"/>
      <c r="E491" s="343" t="s">
        <v>106</v>
      </c>
    </row>
    <row r="492" spans="1:5" ht="15" hidden="1">
      <c r="A492" s="257" t="s">
        <v>45</v>
      </c>
      <c r="B492" s="26" t="s">
        <v>105</v>
      </c>
      <c r="C492" s="13" t="s">
        <v>59</v>
      </c>
      <c r="D492" s="26"/>
      <c r="E492" s="258">
        <v>0</v>
      </c>
    </row>
    <row r="493" spans="1:5" ht="17.25" hidden="1">
      <c r="A493" s="344" t="s">
        <v>46</v>
      </c>
      <c r="B493" s="144" t="s">
        <v>172</v>
      </c>
      <c r="C493" s="148" t="s">
        <v>59</v>
      </c>
      <c r="D493" s="149" t="s">
        <v>181</v>
      </c>
      <c r="E493" s="345"/>
    </row>
    <row r="494" spans="1:5" ht="18.75" hidden="1">
      <c r="A494" s="257" t="s">
        <v>48</v>
      </c>
      <c r="B494" s="26" t="s">
        <v>49</v>
      </c>
      <c r="C494" s="61" t="s">
        <v>59</v>
      </c>
      <c r="D494" s="130" t="s">
        <v>173</v>
      </c>
      <c r="E494" s="334">
        <f>E475</f>
        <v>4.57</v>
      </c>
    </row>
    <row r="495" spans="1:5" ht="33" hidden="1">
      <c r="A495" s="329" t="s">
        <v>50</v>
      </c>
      <c r="B495" s="39" t="s">
        <v>51</v>
      </c>
      <c r="C495" s="30" t="s">
        <v>59</v>
      </c>
      <c r="D495" s="62" t="s">
        <v>20</v>
      </c>
      <c r="E495" s="346">
        <f>E476</f>
        <v>16.476807413741106</v>
      </c>
    </row>
    <row r="496" spans="1:5" ht="15" hidden="1">
      <c r="A496" s="257" t="s">
        <v>52</v>
      </c>
      <c r="B496" s="63" t="s">
        <v>53</v>
      </c>
      <c r="C496" s="37"/>
      <c r="D496" s="37"/>
      <c r="E496" s="331"/>
    </row>
    <row r="497" spans="1:5" ht="15" hidden="1">
      <c r="A497" s="257" t="s">
        <v>54</v>
      </c>
      <c r="B497" s="26" t="s">
        <v>55</v>
      </c>
      <c r="C497" s="13" t="s">
        <v>56</v>
      </c>
      <c r="D497" s="26"/>
      <c r="E497" s="258">
        <v>33.57</v>
      </c>
    </row>
    <row r="498" spans="1:5" ht="15" hidden="1">
      <c r="A498" s="257" t="s">
        <v>57</v>
      </c>
      <c r="B498" s="26" t="s">
        <v>58</v>
      </c>
      <c r="C498" s="13" t="s">
        <v>59</v>
      </c>
      <c r="D498" s="64" t="s">
        <v>47</v>
      </c>
      <c r="E498" s="258"/>
    </row>
    <row r="499" spans="1:5" ht="15" hidden="1">
      <c r="A499" s="324" t="s">
        <v>60</v>
      </c>
      <c r="B499" s="459" t="s">
        <v>61</v>
      </c>
      <c r="C499" s="460"/>
      <c r="D499" s="460"/>
      <c r="E499" s="461"/>
    </row>
    <row r="500" spans="1:5" ht="17.25" hidden="1">
      <c r="A500" s="14" t="s">
        <v>62</v>
      </c>
      <c r="B500" s="18" t="s">
        <v>182</v>
      </c>
      <c r="C500" s="11" t="s">
        <v>59</v>
      </c>
      <c r="D500" s="149" t="s">
        <v>180</v>
      </c>
      <c r="E500" s="327">
        <f>E501+E502</f>
        <v>6.832629938177808</v>
      </c>
    </row>
    <row r="501" spans="1:5" ht="18.75" hidden="1">
      <c r="A501" s="15" t="s">
        <v>63</v>
      </c>
      <c r="B501" s="16" t="s">
        <v>64</v>
      </c>
      <c r="C501" s="13" t="s">
        <v>59</v>
      </c>
      <c r="D501" s="130" t="s">
        <v>174</v>
      </c>
      <c r="E501" s="258">
        <v>2.39</v>
      </c>
    </row>
    <row r="502" spans="1:5" ht="18.75" hidden="1">
      <c r="A502" s="15" t="s">
        <v>65</v>
      </c>
      <c r="B502" s="17" t="s">
        <v>66</v>
      </c>
      <c r="C502" s="22"/>
      <c r="D502" s="142" t="s">
        <v>175</v>
      </c>
      <c r="E502" s="334">
        <f>0.39+(7.24*E474/37.6)</f>
        <v>4.4426299381778085</v>
      </c>
    </row>
    <row r="503" spans="1:5" ht="15" hidden="1">
      <c r="A503" s="14" t="s">
        <v>67</v>
      </c>
      <c r="B503" s="18" t="s">
        <v>68</v>
      </c>
      <c r="C503" s="11"/>
      <c r="D503" s="26"/>
      <c r="E503" s="258"/>
    </row>
    <row r="504" spans="1:5" ht="15" hidden="1">
      <c r="A504" s="14" t="s">
        <v>69</v>
      </c>
      <c r="B504" s="19" t="s">
        <v>55</v>
      </c>
      <c r="C504" s="12" t="s">
        <v>56</v>
      </c>
      <c r="D504" s="26"/>
      <c r="E504" s="258"/>
    </row>
    <row r="505" spans="1:5" ht="18.75" hidden="1">
      <c r="A505" s="14" t="s">
        <v>70</v>
      </c>
      <c r="B505" s="19" t="s">
        <v>71</v>
      </c>
      <c r="C505" s="13" t="s">
        <v>59</v>
      </c>
      <c r="D505" s="130" t="s">
        <v>176</v>
      </c>
      <c r="E505" s="258"/>
    </row>
    <row r="506" spans="1:5" ht="15" hidden="1">
      <c r="A506" s="347" t="s">
        <v>72</v>
      </c>
      <c r="B506" s="454" t="s">
        <v>73</v>
      </c>
      <c r="C506" s="455"/>
      <c r="D506" s="455"/>
      <c r="E506" s="456"/>
    </row>
    <row r="507" spans="1:5" ht="15" hidden="1">
      <c r="A507" s="457" t="s">
        <v>79</v>
      </c>
      <c r="B507" s="20" t="s">
        <v>74</v>
      </c>
      <c r="C507" s="13" t="s">
        <v>59</v>
      </c>
      <c r="D507" s="132" t="s">
        <v>106</v>
      </c>
      <c r="E507" s="264">
        <v>0.31</v>
      </c>
    </row>
    <row r="508" spans="1:5" ht="15" hidden="1">
      <c r="A508" s="458"/>
      <c r="B508" s="21" t="s">
        <v>75</v>
      </c>
      <c r="C508" s="61" t="s">
        <v>76</v>
      </c>
      <c r="D508" s="132" t="s">
        <v>106</v>
      </c>
      <c r="E508" s="264">
        <v>2.32</v>
      </c>
    </row>
    <row r="509" spans="1:5" ht="15.75" hidden="1" thickBot="1">
      <c r="A509" s="458"/>
      <c r="B509" s="21" t="s">
        <v>77</v>
      </c>
      <c r="C509" s="131" t="s">
        <v>78</v>
      </c>
      <c r="D509" s="132" t="s">
        <v>106</v>
      </c>
      <c r="E509" s="264">
        <v>46.02</v>
      </c>
    </row>
    <row r="510" spans="1:5" ht="15" hidden="1">
      <c r="A510" s="347" t="s">
        <v>80</v>
      </c>
      <c r="B510" s="135" t="s">
        <v>81</v>
      </c>
      <c r="C510" s="13" t="s">
        <v>59</v>
      </c>
      <c r="D510" s="70"/>
      <c r="E510" s="264">
        <v>0.12</v>
      </c>
    </row>
    <row r="511" spans="1:5" ht="15" hidden="1">
      <c r="A511" s="347" t="s">
        <v>82</v>
      </c>
      <c r="B511" s="135" t="s">
        <v>83</v>
      </c>
      <c r="C511" s="13" t="s">
        <v>59</v>
      </c>
      <c r="D511" s="70"/>
      <c r="E511" s="264">
        <v>-0.27</v>
      </c>
    </row>
    <row r="512" spans="1:5" ht="15" hidden="1">
      <c r="A512" s="347" t="s">
        <v>84</v>
      </c>
      <c r="B512" s="135" t="s">
        <v>177</v>
      </c>
      <c r="C512" s="13" t="s">
        <v>59</v>
      </c>
      <c r="D512" s="70"/>
      <c r="E512" s="272">
        <f>E474+E500+E507+E510+E511</f>
        <v>28.039437351918917</v>
      </c>
    </row>
    <row r="513" spans="1:5" ht="15" hidden="1">
      <c r="A513" s="347" t="s">
        <v>85</v>
      </c>
      <c r="B513" s="135" t="s">
        <v>86</v>
      </c>
      <c r="C513" s="13" t="s">
        <v>59</v>
      </c>
      <c r="D513" s="70"/>
      <c r="E513" s="264">
        <v>0</v>
      </c>
    </row>
    <row r="514" spans="1:5" ht="15" hidden="1">
      <c r="A514" s="347" t="s">
        <v>87</v>
      </c>
      <c r="B514" s="135" t="s">
        <v>88</v>
      </c>
      <c r="C514" s="11" t="s">
        <v>59</v>
      </c>
      <c r="D514" s="137"/>
      <c r="E514" s="272">
        <f>E512</f>
        <v>28.039437351918917</v>
      </c>
    </row>
    <row r="515" spans="1:5" ht="15" hidden="1">
      <c r="A515" s="347" t="s">
        <v>89</v>
      </c>
      <c r="B515" s="135" t="s">
        <v>90</v>
      </c>
      <c r="C515" s="11" t="s">
        <v>59</v>
      </c>
      <c r="D515" s="137"/>
      <c r="E515" s="273">
        <f>E514*1.09</f>
        <v>30.56298671359162</v>
      </c>
    </row>
    <row r="516" spans="1:5" ht="15" hidden="1">
      <c r="A516" s="347" t="s">
        <v>91</v>
      </c>
      <c r="B516" s="135" t="s">
        <v>92</v>
      </c>
      <c r="C516" s="11" t="s">
        <v>59</v>
      </c>
      <c r="D516" s="137"/>
      <c r="E516" s="273">
        <f>E423</f>
        <v>27.598259961944926</v>
      </c>
    </row>
    <row r="517" spans="1:5" ht="15" hidden="1">
      <c r="A517" s="347" t="s">
        <v>93</v>
      </c>
      <c r="B517" s="135" t="s">
        <v>94</v>
      </c>
      <c r="C517" s="134" t="s">
        <v>95</v>
      </c>
      <c r="D517" s="137"/>
      <c r="E517" s="273">
        <f>(E512/E516)*100-100</f>
        <v>1.5985695858446292</v>
      </c>
    </row>
    <row r="518" spans="1:5" ht="15" hidden="1">
      <c r="A518" s="347" t="s">
        <v>96</v>
      </c>
      <c r="B518" s="136" t="s">
        <v>97</v>
      </c>
      <c r="C518" s="138" t="s">
        <v>98</v>
      </c>
      <c r="D518" s="139"/>
      <c r="E518" s="348">
        <v>4.42</v>
      </c>
    </row>
    <row r="519" spans="1:5" ht="15" hidden="1">
      <c r="A519" s="347" t="s">
        <v>99</v>
      </c>
      <c r="B519" s="136" t="s">
        <v>100</v>
      </c>
      <c r="C519" s="133" t="s">
        <v>98</v>
      </c>
      <c r="D519" s="70"/>
      <c r="E519" s="348">
        <v>3.61</v>
      </c>
    </row>
    <row r="520" spans="1:5" ht="15.75" hidden="1" thickBot="1">
      <c r="A520" s="24" t="s">
        <v>101</v>
      </c>
      <c r="B520" s="25" t="s">
        <v>102</v>
      </c>
      <c r="C520" s="349" t="s">
        <v>98</v>
      </c>
      <c r="D520" s="350"/>
      <c r="E520" s="351">
        <v>0</v>
      </c>
    </row>
    <row r="521" ht="15" hidden="1"/>
    <row r="522" ht="15" hidden="1"/>
    <row r="523" ht="15" hidden="1"/>
    <row r="524" ht="15" hidden="1">
      <c r="B524" s="323"/>
    </row>
    <row r="525" spans="1:5" ht="15" hidden="1">
      <c r="A525" s="315"/>
      <c r="B525" s="315"/>
      <c r="C525" s="315"/>
      <c r="D525" s="315"/>
      <c r="E525" s="315"/>
    </row>
    <row r="526" spans="1:5" ht="15" hidden="1">
      <c r="A526" s="315"/>
      <c r="B526" s="315"/>
      <c r="C526" s="315"/>
      <c r="D526" s="315"/>
      <c r="E526" s="315"/>
    </row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spans="2:4" ht="15" hidden="1">
      <c r="B538" t="s">
        <v>189</v>
      </c>
      <c r="C538" t="s">
        <v>193</v>
      </c>
      <c r="D538" s="155" t="s">
        <v>190</v>
      </c>
    </row>
    <row r="539" ht="15" hidden="1">
      <c r="C539" s="162" t="s">
        <v>194</v>
      </c>
    </row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spans="1:5" ht="15" hidden="1">
      <c r="A547" s="140" t="s">
        <v>0</v>
      </c>
      <c r="B547" s="140"/>
      <c r="C547" s="140"/>
      <c r="D547" s="140"/>
      <c r="E547" s="140" t="s">
        <v>107</v>
      </c>
    </row>
    <row r="548" spans="1:5" ht="15" hidden="1">
      <c r="A548" s="140" t="s">
        <v>1</v>
      </c>
      <c r="B548" s="140"/>
      <c r="C548" s="140"/>
      <c r="D548" s="140" t="s">
        <v>178</v>
      </c>
      <c r="E548" s="3"/>
    </row>
    <row r="549" spans="1:5" ht="15" hidden="1">
      <c r="A549" s="140" t="s">
        <v>2</v>
      </c>
      <c r="B549" s="140"/>
      <c r="C549" s="140"/>
      <c r="D549" s="140" t="s">
        <v>167</v>
      </c>
      <c r="E549" s="5"/>
    </row>
    <row r="550" spans="1:5" ht="15" hidden="1">
      <c r="A550" s="140" t="s">
        <v>3</v>
      </c>
      <c r="B550" s="140"/>
      <c r="C550" s="140"/>
      <c r="D550" s="140" t="s">
        <v>168</v>
      </c>
      <c r="E550" s="3"/>
    </row>
    <row r="551" spans="1:5" ht="15" hidden="1">
      <c r="A551" s="140" t="s">
        <v>4</v>
      </c>
      <c r="B551" s="140"/>
      <c r="C551" s="140"/>
      <c r="D551" s="140" t="s">
        <v>169</v>
      </c>
      <c r="E551" s="3"/>
    </row>
    <row r="552" spans="1:5" ht="15" hidden="1">
      <c r="A552" s="161" t="s">
        <v>192</v>
      </c>
      <c r="B552" s="140"/>
      <c r="C552" s="140"/>
      <c r="D552" s="140"/>
      <c r="E552" s="3"/>
    </row>
    <row r="553" spans="1:5" ht="15" hidden="1">
      <c r="A553" s="140" t="s">
        <v>5</v>
      </c>
      <c r="B553" s="140"/>
      <c r="C553" s="140"/>
      <c r="D553" s="140" t="s">
        <v>170</v>
      </c>
      <c r="E553" s="3"/>
    </row>
    <row r="554" spans="1:5" ht="15" hidden="1">
      <c r="A554" s="1"/>
      <c r="B554" s="1"/>
      <c r="C554" s="1"/>
      <c r="D554" s="1"/>
      <c r="E554" s="1"/>
    </row>
    <row r="555" spans="1:4" ht="15.75" hidden="1">
      <c r="A555" s="150"/>
      <c r="B555" s="150" t="s">
        <v>262</v>
      </c>
      <c r="C555" s="2"/>
      <c r="D555" s="2"/>
    </row>
    <row r="556" spans="1:4" ht="15.75" hidden="1">
      <c r="A556" s="150"/>
      <c r="B556" s="150"/>
      <c r="C556" s="159">
        <v>41659</v>
      </c>
      <c r="D556" s="2"/>
    </row>
    <row r="557" spans="1:4" ht="15.75" hidden="1">
      <c r="A557" s="150"/>
      <c r="B557" s="150"/>
      <c r="C557" s="160" t="s">
        <v>191</v>
      </c>
      <c r="D557" s="2"/>
    </row>
    <row r="558" spans="1:5" ht="15" hidden="1">
      <c r="A558" s="2" t="s">
        <v>6</v>
      </c>
      <c r="B558" s="2"/>
      <c r="C558" s="2"/>
      <c r="D558" s="2"/>
      <c r="E558" s="2"/>
    </row>
    <row r="559" spans="1:5" ht="15" hidden="1">
      <c r="A559" s="1" t="s">
        <v>260</v>
      </c>
      <c r="B559" s="1"/>
      <c r="C559" s="1"/>
      <c r="D559" s="1"/>
      <c r="E559" s="1"/>
    </row>
    <row r="560" spans="1:5" ht="15" hidden="1">
      <c r="A560" s="1" t="s">
        <v>7</v>
      </c>
      <c r="B560" s="1"/>
      <c r="C560" s="1"/>
      <c r="D560" s="1"/>
      <c r="E560" s="1"/>
    </row>
    <row r="561" spans="1:5" ht="15.75" hidden="1" thickBot="1">
      <c r="A561" s="252" t="s">
        <v>237</v>
      </c>
      <c r="B561" s="252"/>
      <c r="C561" s="252"/>
      <c r="D561" s="252"/>
      <c r="E561" s="1"/>
    </row>
    <row r="562" spans="1:5" ht="15" hidden="1">
      <c r="A562" s="253" t="s">
        <v>8</v>
      </c>
      <c r="B562" s="254" t="s">
        <v>9</v>
      </c>
      <c r="C562" s="254" t="s">
        <v>10</v>
      </c>
      <c r="D562" s="254" t="s">
        <v>11</v>
      </c>
      <c r="E562" s="256" t="s">
        <v>12</v>
      </c>
    </row>
    <row r="563" spans="1:5" ht="15" hidden="1">
      <c r="A563" s="257">
        <v>1</v>
      </c>
      <c r="B563" s="26">
        <v>2</v>
      </c>
      <c r="C563" s="26">
        <v>3</v>
      </c>
      <c r="D563" s="26">
        <v>4</v>
      </c>
      <c r="E563" s="258">
        <v>5</v>
      </c>
    </row>
    <row r="564" spans="1:5" ht="15" hidden="1">
      <c r="A564" s="324" t="s">
        <v>13</v>
      </c>
      <c r="B564" s="28" t="s">
        <v>14</v>
      </c>
      <c r="C564" s="28"/>
      <c r="D564" s="28"/>
      <c r="E564" s="325"/>
    </row>
    <row r="565" spans="1:5" ht="17.25" hidden="1">
      <c r="A565" s="324" t="s">
        <v>15</v>
      </c>
      <c r="B565" s="141" t="s">
        <v>183</v>
      </c>
      <c r="C565" s="11" t="s">
        <v>59</v>
      </c>
      <c r="D565" s="326" t="s">
        <v>179</v>
      </c>
      <c r="E565" s="327">
        <f>E566+E567</f>
        <v>20.838931995194383</v>
      </c>
    </row>
    <row r="566" spans="1:5" ht="18.75" hidden="1">
      <c r="A566" s="328" t="s">
        <v>16</v>
      </c>
      <c r="B566" s="26" t="s">
        <v>18</v>
      </c>
      <c r="C566" s="13" t="s">
        <v>59</v>
      </c>
      <c r="D566" s="130" t="s">
        <v>171</v>
      </c>
      <c r="E566" s="4">
        <v>4.57</v>
      </c>
    </row>
    <row r="567" spans="1:5" ht="33" hidden="1">
      <c r="A567" s="329" t="s">
        <v>17</v>
      </c>
      <c r="B567" s="158" t="s">
        <v>19</v>
      </c>
      <c r="C567" s="30" t="s">
        <v>59</v>
      </c>
      <c r="D567" s="31" t="s">
        <v>20</v>
      </c>
      <c r="E567" s="330">
        <f>0.28+((4325*E572+226*E580+106.1*E576+509*E584)/(44.84*1000))/10</f>
        <v>16.268931995194382</v>
      </c>
    </row>
    <row r="568" spans="1:5" ht="15" hidden="1">
      <c r="A568" s="328" t="s">
        <v>21</v>
      </c>
      <c r="B568" s="33" t="s">
        <v>22</v>
      </c>
      <c r="C568" s="34"/>
      <c r="D568" s="37"/>
      <c r="E568" s="331"/>
    </row>
    <row r="569" spans="1:5" ht="15" hidden="1">
      <c r="A569" s="332" t="s">
        <v>23</v>
      </c>
      <c r="B569" s="54" t="s">
        <v>24</v>
      </c>
      <c r="C569" s="55"/>
      <c r="D569" s="55"/>
      <c r="E569" s="333"/>
    </row>
    <row r="570" spans="1:5" ht="15" hidden="1">
      <c r="A570" s="328" t="s">
        <v>25</v>
      </c>
      <c r="B570" s="26" t="s">
        <v>26</v>
      </c>
      <c r="C570" s="36" t="s">
        <v>41</v>
      </c>
      <c r="D570" s="26"/>
      <c r="E570" s="334">
        <f>Lapas3!D396</f>
        <v>1211.8112903225806</v>
      </c>
    </row>
    <row r="571" spans="1:5" ht="15" hidden="1">
      <c r="A571" s="328" t="s">
        <v>27</v>
      </c>
      <c r="B571" s="26" t="s">
        <v>28</v>
      </c>
      <c r="C571" s="7" t="s">
        <v>41</v>
      </c>
      <c r="D571" s="26"/>
      <c r="E571" s="258">
        <f>275.02+37.53</f>
        <v>312.54999999999995</v>
      </c>
    </row>
    <row r="572" spans="1:5" ht="15" hidden="1">
      <c r="A572" s="328" t="s">
        <v>29</v>
      </c>
      <c r="B572" s="42" t="s">
        <v>30</v>
      </c>
      <c r="C572" s="43" t="s">
        <v>41</v>
      </c>
      <c r="D572" s="26"/>
      <c r="E572" s="335">
        <f>E570+E571</f>
        <v>1524.3612903225805</v>
      </c>
    </row>
    <row r="573" spans="1:5" ht="15" hidden="1">
      <c r="A573" s="336" t="s">
        <v>31</v>
      </c>
      <c r="B573" s="45" t="s">
        <v>265</v>
      </c>
      <c r="C573" s="46"/>
      <c r="D573" s="46"/>
      <c r="E573" s="337"/>
    </row>
    <row r="574" spans="1:5" ht="15" hidden="1">
      <c r="A574" s="328" t="s">
        <v>35</v>
      </c>
      <c r="B574" s="26" t="s">
        <v>26</v>
      </c>
      <c r="C574" s="44" t="s">
        <v>33</v>
      </c>
      <c r="D574" s="26"/>
      <c r="E574" s="334"/>
    </row>
    <row r="575" spans="1:5" ht="15" hidden="1">
      <c r="A575" s="328" t="s">
        <v>36</v>
      </c>
      <c r="B575" s="26" t="s">
        <v>28</v>
      </c>
      <c r="C575" s="6" t="s">
        <v>33</v>
      </c>
      <c r="D575" s="26"/>
      <c r="E575" s="334"/>
    </row>
    <row r="576" spans="1:5" ht="15" hidden="1">
      <c r="A576" s="328" t="s">
        <v>37</v>
      </c>
      <c r="B576" s="26" t="s">
        <v>30</v>
      </c>
      <c r="C576" s="48" t="s">
        <v>33</v>
      </c>
      <c r="D576" s="26"/>
      <c r="E576" s="335">
        <v>602.46</v>
      </c>
    </row>
    <row r="577" spans="1:5" ht="15" hidden="1">
      <c r="A577" s="336" t="s">
        <v>31</v>
      </c>
      <c r="B577" s="45" t="s">
        <v>266</v>
      </c>
      <c r="C577" s="46"/>
      <c r="D577" s="46"/>
      <c r="E577" s="337"/>
    </row>
    <row r="578" spans="1:5" ht="15" hidden="1">
      <c r="A578" s="328" t="s">
        <v>35</v>
      </c>
      <c r="B578" s="26" t="s">
        <v>26</v>
      </c>
      <c r="C578" s="44" t="s">
        <v>33</v>
      </c>
      <c r="D578" s="26"/>
      <c r="E578" s="334"/>
    </row>
    <row r="579" spans="1:5" ht="15" hidden="1">
      <c r="A579" s="328" t="s">
        <v>36</v>
      </c>
      <c r="B579" s="26" t="s">
        <v>28</v>
      </c>
      <c r="C579" s="6" t="s">
        <v>33</v>
      </c>
      <c r="D579" s="26"/>
      <c r="E579" s="334"/>
    </row>
    <row r="580" spans="1:5" ht="15" hidden="1">
      <c r="A580" s="328" t="s">
        <v>37</v>
      </c>
      <c r="B580" s="26" t="s">
        <v>30</v>
      </c>
      <c r="C580" s="48" t="s">
        <v>33</v>
      </c>
      <c r="D580" s="26"/>
      <c r="E580" s="335">
        <v>447.78</v>
      </c>
    </row>
    <row r="581" spans="1:5" ht="15" hidden="1">
      <c r="A581" s="338" t="s">
        <v>34</v>
      </c>
      <c r="B581" s="50" t="s">
        <v>103</v>
      </c>
      <c r="C581" s="51"/>
      <c r="D581" s="51"/>
      <c r="E581" s="339"/>
    </row>
    <row r="582" spans="1:5" ht="15" hidden="1">
      <c r="A582" s="340" t="s">
        <v>38</v>
      </c>
      <c r="B582" s="49" t="s">
        <v>26</v>
      </c>
      <c r="C582" s="44" t="s">
        <v>33</v>
      </c>
      <c r="D582" s="26"/>
      <c r="E582" s="334">
        <f>Lapas3!D453</f>
        <v>0</v>
      </c>
    </row>
    <row r="583" spans="1:5" ht="15" hidden="1">
      <c r="A583" s="340" t="s">
        <v>39</v>
      </c>
      <c r="B583" s="26" t="s">
        <v>28</v>
      </c>
      <c r="C583" s="6" t="s">
        <v>33</v>
      </c>
      <c r="D583" s="26"/>
      <c r="E583" s="258"/>
    </row>
    <row r="584" spans="1:5" ht="15" hidden="1">
      <c r="A584" s="23" t="s">
        <v>40</v>
      </c>
      <c r="B584" s="42" t="s">
        <v>30</v>
      </c>
      <c r="C584" s="48" t="s">
        <v>33</v>
      </c>
      <c r="D584" s="26"/>
      <c r="E584" s="335">
        <v>808.36</v>
      </c>
    </row>
    <row r="585" spans="1:5" ht="15" hidden="1">
      <c r="A585" s="341" t="s">
        <v>42</v>
      </c>
      <c r="B585" s="58" t="s">
        <v>43</v>
      </c>
      <c r="C585" s="59"/>
      <c r="D585" s="59"/>
      <c r="E585" s="342"/>
    </row>
    <row r="586" spans="1:5" ht="15" hidden="1">
      <c r="A586" s="257" t="s">
        <v>44</v>
      </c>
      <c r="B586" s="26" t="s">
        <v>104</v>
      </c>
      <c r="C586" s="26"/>
      <c r="D586" s="26"/>
      <c r="E586" s="343" t="s">
        <v>106</v>
      </c>
    </row>
    <row r="587" spans="1:5" ht="15" hidden="1">
      <c r="A587" s="257" t="s">
        <v>45</v>
      </c>
      <c r="B587" s="26" t="s">
        <v>105</v>
      </c>
      <c r="C587" s="13" t="s">
        <v>59</v>
      </c>
      <c r="D587" s="26"/>
      <c r="E587" s="258">
        <v>0</v>
      </c>
    </row>
    <row r="588" spans="1:5" ht="17.25" hidden="1">
      <c r="A588" s="344" t="s">
        <v>46</v>
      </c>
      <c r="B588" s="144" t="s">
        <v>172</v>
      </c>
      <c r="C588" s="148" t="s">
        <v>59</v>
      </c>
      <c r="D588" s="149" t="s">
        <v>181</v>
      </c>
      <c r="E588" s="352">
        <f>E589+E590</f>
        <v>20.838931995194383</v>
      </c>
    </row>
    <row r="589" spans="1:5" ht="18.75" hidden="1">
      <c r="A589" s="257" t="s">
        <v>48</v>
      </c>
      <c r="B589" s="26" t="s">
        <v>49</v>
      </c>
      <c r="C589" s="61" t="s">
        <v>59</v>
      </c>
      <c r="D589" s="130" t="s">
        <v>173</v>
      </c>
      <c r="E589" s="334">
        <f>E566</f>
        <v>4.57</v>
      </c>
    </row>
    <row r="590" spans="1:5" ht="33" hidden="1">
      <c r="A590" s="329" t="s">
        <v>50</v>
      </c>
      <c r="B590" s="39" t="s">
        <v>51</v>
      </c>
      <c r="C590" s="30" t="s">
        <v>59</v>
      </c>
      <c r="D590" s="62" t="s">
        <v>20</v>
      </c>
      <c r="E590" s="346">
        <f>E567</f>
        <v>16.268931995194382</v>
      </c>
    </row>
    <row r="591" spans="1:5" ht="15" hidden="1">
      <c r="A591" s="257" t="s">
        <v>52</v>
      </c>
      <c r="B591" s="63" t="s">
        <v>53</v>
      </c>
      <c r="C591" s="37"/>
      <c r="D591" s="37"/>
      <c r="E591" s="331"/>
    </row>
    <row r="592" spans="1:5" ht="15" hidden="1">
      <c r="A592" s="257" t="s">
        <v>54</v>
      </c>
      <c r="B592" s="26" t="s">
        <v>55</v>
      </c>
      <c r="C592" s="13" t="s">
        <v>56</v>
      </c>
      <c r="D592" s="26"/>
      <c r="E592" s="258">
        <v>33.57</v>
      </c>
    </row>
    <row r="593" spans="1:5" ht="15" hidden="1">
      <c r="A593" s="257" t="s">
        <v>57</v>
      </c>
      <c r="B593" s="26" t="s">
        <v>58</v>
      </c>
      <c r="C593" s="13" t="s">
        <v>59</v>
      </c>
      <c r="D593" s="64" t="s">
        <v>47</v>
      </c>
      <c r="E593" s="258"/>
    </row>
    <row r="594" spans="1:5" ht="15" hidden="1">
      <c r="A594" s="324" t="s">
        <v>60</v>
      </c>
      <c r="B594" s="459" t="s">
        <v>61</v>
      </c>
      <c r="C594" s="460"/>
      <c r="D594" s="460"/>
      <c r="E594" s="461"/>
    </row>
    <row r="595" spans="1:5" ht="17.25" hidden="1">
      <c r="A595" s="14" t="s">
        <v>62</v>
      </c>
      <c r="B595" s="18" t="s">
        <v>182</v>
      </c>
      <c r="C595" s="11" t="s">
        <v>59</v>
      </c>
      <c r="D595" s="149" t="s">
        <v>180</v>
      </c>
      <c r="E595" s="327">
        <f>E596+E597</f>
        <v>6.792602862904451</v>
      </c>
    </row>
    <row r="596" spans="1:5" ht="18.75" hidden="1">
      <c r="A596" s="15" t="s">
        <v>63</v>
      </c>
      <c r="B596" s="16" t="s">
        <v>64</v>
      </c>
      <c r="C596" s="13" t="s">
        <v>59</v>
      </c>
      <c r="D596" s="130" t="s">
        <v>174</v>
      </c>
      <c r="E596" s="258">
        <v>2.39</v>
      </c>
    </row>
    <row r="597" spans="1:5" ht="18.75" hidden="1">
      <c r="A597" s="15" t="s">
        <v>65</v>
      </c>
      <c r="B597" s="17" t="s">
        <v>66</v>
      </c>
      <c r="C597" s="22"/>
      <c r="D597" s="142" t="s">
        <v>175</v>
      </c>
      <c r="E597" s="334">
        <f>0.39+(7.24*E565/37.6)</f>
        <v>4.40260286290445</v>
      </c>
    </row>
    <row r="598" spans="1:5" ht="15" hidden="1">
      <c r="A598" s="14" t="s">
        <v>67</v>
      </c>
      <c r="B598" s="18" t="s">
        <v>68</v>
      </c>
      <c r="C598" s="11"/>
      <c r="D598" s="26"/>
      <c r="E598" s="258"/>
    </row>
    <row r="599" spans="1:5" ht="15" hidden="1">
      <c r="A599" s="14" t="s">
        <v>69</v>
      </c>
      <c r="B599" s="19" t="s">
        <v>55</v>
      </c>
      <c r="C599" s="12" t="s">
        <v>56</v>
      </c>
      <c r="D599" s="26"/>
      <c r="E599" s="258"/>
    </row>
    <row r="600" spans="1:5" ht="18.75" hidden="1">
      <c r="A600" s="14" t="s">
        <v>70</v>
      </c>
      <c r="B600" s="19" t="s">
        <v>71</v>
      </c>
      <c r="C600" s="13" t="s">
        <v>59</v>
      </c>
      <c r="D600" s="130" t="s">
        <v>176</v>
      </c>
      <c r="E600" s="258"/>
    </row>
    <row r="601" spans="1:5" ht="15" hidden="1">
      <c r="A601" s="347" t="s">
        <v>72</v>
      </c>
      <c r="B601" s="454" t="s">
        <v>73</v>
      </c>
      <c r="C601" s="455"/>
      <c r="D601" s="455"/>
      <c r="E601" s="456"/>
    </row>
    <row r="602" spans="1:5" ht="15" hidden="1">
      <c r="A602" s="457" t="s">
        <v>79</v>
      </c>
      <c r="B602" s="20" t="s">
        <v>74</v>
      </c>
      <c r="C602" s="13" t="s">
        <v>59</v>
      </c>
      <c r="D602" s="132" t="s">
        <v>106</v>
      </c>
      <c r="E602" s="264">
        <v>0.31</v>
      </c>
    </row>
    <row r="603" spans="1:5" ht="15" hidden="1">
      <c r="A603" s="458"/>
      <c r="B603" s="21" t="s">
        <v>75</v>
      </c>
      <c r="C603" s="61" t="s">
        <v>76</v>
      </c>
      <c r="D603" s="132" t="s">
        <v>106</v>
      </c>
      <c r="E603" s="264">
        <v>2.32</v>
      </c>
    </row>
    <row r="604" spans="1:5" ht="15.75" hidden="1" thickBot="1">
      <c r="A604" s="458"/>
      <c r="B604" s="21" t="s">
        <v>77</v>
      </c>
      <c r="C604" s="131" t="s">
        <v>78</v>
      </c>
      <c r="D604" s="132" t="s">
        <v>106</v>
      </c>
      <c r="E604" s="264">
        <v>46.02</v>
      </c>
    </row>
    <row r="605" spans="1:5" ht="15" hidden="1">
      <c r="A605" s="347" t="s">
        <v>80</v>
      </c>
      <c r="B605" s="135" t="s">
        <v>81</v>
      </c>
      <c r="C605" s="13" t="s">
        <v>59</v>
      </c>
      <c r="D605" s="70"/>
      <c r="E605" s="264">
        <v>0.12</v>
      </c>
    </row>
    <row r="606" spans="1:5" ht="15" hidden="1">
      <c r="A606" s="347" t="s">
        <v>82</v>
      </c>
      <c r="B606" s="135" t="s">
        <v>83</v>
      </c>
      <c r="C606" s="13" t="s">
        <v>59</v>
      </c>
      <c r="D606" s="70"/>
      <c r="E606" s="264">
        <v>-0.27</v>
      </c>
    </row>
    <row r="607" spans="1:5" ht="15" hidden="1">
      <c r="A607" s="347" t="s">
        <v>84</v>
      </c>
      <c r="B607" s="135" t="s">
        <v>267</v>
      </c>
      <c r="C607" s="13" t="s">
        <v>59</v>
      </c>
      <c r="D607" s="70"/>
      <c r="E607" s="272">
        <f>E565+E595+E605+E606+E602</f>
        <v>27.79153485809883</v>
      </c>
    </row>
    <row r="608" spans="1:5" ht="15" hidden="1">
      <c r="A608" s="347" t="s">
        <v>85</v>
      </c>
      <c r="B608" s="135" t="s">
        <v>86</v>
      </c>
      <c r="C608" s="13" t="s">
        <v>59</v>
      </c>
      <c r="D608" s="70"/>
      <c r="E608" s="264">
        <v>0</v>
      </c>
    </row>
    <row r="609" spans="1:5" ht="15" hidden="1">
      <c r="A609" s="347" t="s">
        <v>87</v>
      </c>
      <c r="B609" s="135" t="s">
        <v>88</v>
      </c>
      <c r="C609" s="11" t="s">
        <v>59</v>
      </c>
      <c r="D609" s="137"/>
      <c r="E609" s="272">
        <f>E607</f>
        <v>27.79153485809883</v>
      </c>
    </row>
    <row r="610" spans="1:5" ht="15" hidden="1">
      <c r="A610" s="347" t="s">
        <v>89</v>
      </c>
      <c r="B610" s="135" t="s">
        <v>90</v>
      </c>
      <c r="C610" s="11" t="s">
        <v>59</v>
      </c>
      <c r="D610" s="137"/>
      <c r="E610" s="273">
        <f>E609*1.09</f>
        <v>30.292772995327727</v>
      </c>
    </row>
    <row r="611" spans="1:5" ht="15" hidden="1">
      <c r="A611" s="347" t="s">
        <v>91</v>
      </c>
      <c r="B611" s="135" t="s">
        <v>92</v>
      </c>
      <c r="C611" s="11" t="s">
        <v>59</v>
      </c>
      <c r="D611" s="137"/>
      <c r="E611" s="273">
        <f>E512</f>
        <v>28.039437351918917</v>
      </c>
    </row>
    <row r="612" spans="1:5" ht="15" hidden="1">
      <c r="A612" s="347" t="s">
        <v>93</v>
      </c>
      <c r="B612" s="135" t="s">
        <v>94</v>
      </c>
      <c r="C612" s="134" t="s">
        <v>95</v>
      </c>
      <c r="D612" s="137"/>
      <c r="E612" s="273">
        <f>(E607/E611)*100-100</f>
        <v>-0.8841207856944493</v>
      </c>
    </row>
    <row r="613" spans="1:5" ht="15" hidden="1">
      <c r="A613" s="347" t="s">
        <v>96</v>
      </c>
      <c r="B613" s="136" t="s">
        <v>97</v>
      </c>
      <c r="C613" s="138" t="s">
        <v>98</v>
      </c>
      <c r="D613" s="139"/>
      <c r="E613" s="348">
        <v>5.86778</v>
      </c>
    </row>
    <row r="614" spans="1:5" ht="15" hidden="1">
      <c r="A614" s="347" t="s">
        <v>99</v>
      </c>
      <c r="B614" s="136" t="s">
        <v>100</v>
      </c>
      <c r="C614" s="133" t="s">
        <v>98</v>
      </c>
      <c r="D614" s="70"/>
      <c r="E614" s="348">
        <v>5.069941</v>
      </c>
    </row>
    <row r="615" spans="1:5" ht="15.75" hidden="1" thickBot="1">
      <c r="A615" s="24" t="s">
        <v>101</v>
      </c>
      <c r="B615" s="25" t="s">
        <v>102</v>
      </c>
      <c r="C615" s="349" t="s">
        <v>98</v>
      </c>
      <c r="D615" s="350"/>
      <c r="E615" s="351">
        <v>0</v>
      </c>
    </row>
    <row r="616" ht="15" hidden="1"/>
    <row r="617" ht="15" hidden="1"/>
    <row r="618" ht="15" hidden="1"/>
    <row r="619" ht="15" hidden="1">
      <c r="B619" s="323"/>
    </row>
    <row r="620" spans="1:5" ht="15" hidden="1">
      <c r="A620" s="315"/>
      <c r="B620" s="315"/>
      <c r="C620" s="315"/>
      <c r="D620" s="315"/>
      <c r="E620" s="315"/>
    </row>
    <row r="621" spans="1:5" ht="15" hidden="1">
      <c r="A621" s="315"/>
      <c r="B621" s="315"/>
      <c r="C621" s="315"/>
      <c r="D621" s="315"/>
      <c r="E621" s="315"/>
    </row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spans="2:4" ht="15" hidden="1">
      <c r="B633" t="s">
        <v>189</v>
      </c>
      <c r="C633" t="s">
        <v>193</v>
      </c>
      <c r="D633" s="155" t="s">
        <v>190</v>
      </c>
    </row>
    <row r="634" ht="15" hidden="1">
      <c r="C634" s="162" t="s">
        <v>194</v>
      </c>
    </row>
    <row r="635" ht="15" hidden="1"/>
    <row r="636" ht="15" hidden="1"/>
    <row r="637" ht="15" hidden="1"/>
    <row r="638" spans="1:5" ht="15" hidden="1">
      <c r="A638" s="140" t="s">
        <v>0</v>
      </c>
      <c r="B638" s="140"/>
      <c r="C638" s="140"/>
      <c r="D638" s="140"/>
      <c r="E638" s="140" t="s">
        <v>107</v>
      </c>
    </row>
    <row r="639" spans="1:5" ht="15" hidden="1">
      <c r="A639" s="140" t="s">
        <v>1</v>
      </c>
      <c r="B639" s="140"/>
      <c r="C639" s="140"/>
      <c r="D639" s="140" t="s">
        <v>178</v>
      </c>
      <c r="E639" s="3"/>
    </row>
    <row r="640" spans="1:5" ht="15" hidden="1">
      <c r="A640" s="140" t="s">
        <v>2</v>
      </c>
      <c r="B640" s="140"/>
      <c r="C640" s="140"/>
      <c r="D640" s="140" t="s">
        <v>167</v>
      </c>
      <c r="E640" s="5"/>
    </row>
    <row r="641" spans="1:5" ht="15" hidden="1">
      <c r="A641" s="140" t="s">
        <v>3</v>
      </c>
      <c r="B641" s="140"/>
      <c r="C641" s="140"/>
      <c r="D641" s="140" t="s">
        <v>168</v>
      </c>
      <c r="E641" s="3"/>
    </row>
    <row r="642" spans="1:5" ht="15" hidden="1">
      <c r="A642" s="140" t="s">
        <v>4</v>
      </c>
      <c r="B642" s="140"/>
      <c r="C642" s="140"/>
      <c r="D642" s="140" t="s">
        <v>169</v>
      </c>
      <c r="E642" s="3"/>
    </row>
    <row r="643" spans="1:5" ht="15" hidden="1">
      <c r="A643" s="161" t="s">
        <v>192</v>
      </c>
      <c r="B643" s="140"/>
      <c r="C643" s="140"/>
      <c r="D643" s="140"/>
      <c r="E643" s="3"/>
    </row>
    <row r="644" spans="1:5" ht="15" hidden="1">
      <c r="A644" s="140" t="s">
        <v>5</v>
      </c>
      <c r="B644" s="140"/>
      <c r="C644" s="140"/>
      <c r="D644" s="140" t="s">
        <v>170</v>
      </c>
      <c r="E644" s="3"/>
    </row>
    <row r="645" spans="1:5" ht="15" hidden="1">
      <c r="A645" s="1"/>
      <c r="B645" s="1"/>
      <c r="C645" s="1"/>
      <c r="D645" s="1"/>
      <c r="E645" s="1"/>
    </row>
    <row r="646" spans="1:4" ht="15.75" hidden="1">
      <c r="A646" s="150"/>
      <c r="B646" s="150" t="s">
        <v>268</v>
      </c>
      <c r="C646" s="2"/>
      <c r="D646" s="2"/>
    </row>
    <row r="647" spans="1:4" ht="15.75" hidden="1">
      <c r="A647" s="150"/>
      <c r="B647" s="150"/>
      <c r="C647" s="159">
        <v>41690</v>
      </c>
      <c r="D647" s="2"/>
    </row>
    <row r="648" spans="1:4" ht="15.75" hidden="1">
      <c r="A648" s="150"/>
      <c r="B648" s="150"/>
      <c r="C648" s="160" t="s">
        <v>191</v>
      </c>
      <c r="D648" s="2"/>
    </row>
    <row r="649" spans="1:5" ht="15" hidden="1">
      <c r="A649" s="2" t="s">
        <v>6</v>
      </c>
      <c r="B649" s="2"/>
      <c r="C649" s="2"/>
      <c r="D649" s="2"/>
      <c r="E649" s="2"/>
    </row>
    <row r="650" spans="1:5" ht="15" hidden="1">
      <c r="A650" s="1" t="s">
        <v>260</v>
      </c>
      <c r="B650" s="1"/>
      <c r="C650" s="1"/>
      <c r="D650" s="1"/>
      <c r="E650" s="1"/>
    </row>
    <row r="651" spans="1:5" ht="15" hidden="1">
      <c r="A651" s="1" t="s">
        <v>7</v>
      </c>
      <c r="B651" s="1"/>
      <c r="C651" s="1"/>
      <c r="D651" s="1"/>
      <c r="E651" s="1"/>
    </row>
    <row r="652" spans="1:5" ht="15.75" hidden="1" thickBot="1">
      <c r="A652" s="252" t="s">
        <v>237</v>
      </c>
      <c r="B652" s="252"/>
      <c r="C652" s="252"/>
      <c r="D652" s="252"/>
      <c r="E652" s="1"/>
    </row>
    <row r="653" spans="1:5" ht="15" hidden="1">
      <c r="A653" s="253" t="s">
        <v>8</v>
      </c>
      <c r="B653" s="254" t="s">
        <v>9</v>
      </c>
      <c r="C653" s="254" t="s">
        <v>10</v>
      </c>
      <c r="D653" s="254" t="s">
        <v>11</v>
      </c>
      <c r="E653" s="256" t="s">
        <v>12</v>
      </c>
    </row>
    <row r="654" spans="1:5" ht="15" hidden="1">
      <c r="A654" s="257">
        <v>1</v>
      </c>
      <c r="B654" s="26">
        <v>2</v>
      </c>
      <c r="C654" s="26">
        <v>3</v>
      </c>
      <c r="D654" s="26">
        <v>4</v>
      </c>
      <c r="E654" s="258">
        <v>5</v>
      </c>
    </row>
    <row r="655" spans="1:5" ht="15" hidden="1">
      <c r="A655" s="324" t="s">
        <v>13</v>
      </c>
      <c r="B655" s="28" t="s">
        <v>14</v>
      </c>
      <c r="C655" s="28"/>
      <c r="D655" s="28"/>
      <c r="E655" s="325"/>
    </row>
    <row r="656" spans="1:5" ht="17.25" hidden="1">
      <c r="A656" s="324" t="s">
        <v>15</v>
      </c>
      <c r="B656" s="141" t="s">
        <v>183</v>
      </c>
      <c r="C656" s="11" t="s">
        <v>59</v>
      </c>
      <c r="D656" s="326" t="s">
        <v>179</v>
      </c>
      <c r="E656" s="327">
        <f>E657+E658</f>
        <v>21.119502260838974</v>
      </c>
    </row>
    <row r="657" spans="1:5" ht="18.75" hidden="1">
      <c r="A657" s="328" t="s">
        <v>16</v>
      </c>
      <c r="B657" s="26" t="s">
        <v>18</v>
      </c>
      <c r="C657" s="13" t="s">
        <v>59</v>
      </c>
      <c r="D657" s="130" t="s">
        <v>171</v>
      </c>
      <c r="E657" s="4">
        <v>4.57</v>
      </c>
    </row>
    <row r="658" spans="1:5" ht="33" hidden="1">
      <c r="A658" s="329" t="s">
        <v>17</v>
      </c>
      <c r="B658" s="158" t="s">
        <v>19</v>
      </c>
      <c r="C658" s="30" t="s">
        <v>59</v>
      </c>
      <c r="D658" s="31" t="s">
        <v>20</v>
      </c>
      <c r="E658" s="330">
        <f>0.28+((4325*E663+226*E671+106.1*E667+509*E675)/(44.84*1000))/10</f>
        <v>16.549502260838974</v>
      </c>
    </row>
    <row r="659" spans="1:5" ht="15" hidden="1">
      <c r="A659" s="328" t="s">
        <v>21</v>
      </c>
      <c r="B659" s="33" t="s">
        <v>22</v>
      </c>
      <c r="C659" s="34"/>
      <c r="D659" s="37"/>
      <c r="E659" s="331"/>
    </row>
    <row r="660" spans="1:5" ht="15" hidden="1">
      <c r="A660" s="332" t="s">
        <v>23</v>
      </c>
      <c r="B660" s="54" t="s">
        <v>24</v>
      </c>
      <c r="C660" s="55"/>
      <c r="D660" s="55"/>
      <c r="E660" s="333"/>
    </row>
    <row r="661" spans="1:5" ht="15" hidden="1">
      <c r="A661" s="328" t="s">
        <v>25</v>
      </c>
      <c r="B661" s="26" t="s">
        <v>26</v>
      </c>
      <c r="C661" s="36" t="s">
        <v>41</v>
      </c>
      <c r="D661" s="26"/>
      <c r="E661" s="334">
        <f>Lapas3!D478</f>
        <v>1238.5999950890623</v>
      </c>
    </row>
    <row r="662" spans="1:5" ht="15" hidden="1">
      <c r="A662" s="328" t="s">
        <v>27</v>
      </c>
      <c r="B662" s="26" t="s">
        <v>28</v>
      </c>
      <c r="C662" s="7" t="s">
        <v>41</v>
      </c>
      <c r="D662" s="26"/>
      <c r="E662" s="258">
        <v>313.23</v>
      </c>
    </row>
    <row r="663" spans="1:5" ht="15" hidden="1">
      <c r="A663" s="328" t="s">
        <v>29</v>
      </c>
      <c r="B663" s="42" t="s">
        <v>30</v>
      </c>
      <c r="C663" s="43" t="s">
        <v>41</v>
      </c>
      <c r="D663" s="26"/>
      <c r="E663" s="335">
        <f>E661+E662</f>
        <v>1551.8299950890623</v>
      </c>
    </row>
    <row r="664" spans="1:5" ht="15" hidden="1">
      <c r="A664" s="336" t="s">
        <v>31</v>
      </c>
      <c r="B664" s="45" t="s">
        <v>265</v>
      </c>
      <c r="C664" s="46"/>
      <c r="D664" s="46"/>
      <c r="E664" s="337"/>
    </row>
    <row r="665" spans="1:5" ht="15" hidden="1">
      <c r="A665" s="328" t="s">
        <v>35</v>
      </c>
      <c r="B665" s="26" t="s">
        <v>26</v>
      </c>
      <c r="C665" s="44" t="s">
        <v>33</v>
      </c>
      <c r="D665" s="26"/>
      <c r="E665" s="334"/>
    </row>
    <row r="666" spans="1:5" ht="15" hidden="1">
      <c r="A666" s="328" t="s">
        <v>36</v>
      </c>
      <c r="B666" s="26" t="s">
        <v>28</v>
      </c>
      <c r="C666" s="6" t="s">
        <v>33</v>
      </c>
      <c r="D666" s="26"/>
      <c r="E666" s="334"/>
    </row>
    <row r="667" spans="1:5" ht="15" hidden="1">
      <c r="A667" s="328" t="s">
        <v>37</v>
      </c>
      <c r="B667" s="26" t="s">
        <v>30</v>
      </c>
      <c r="C667" s="48" t="s">
        <v>33</v>
      </c>
      <c r="D667" s="26"/>
      <c r="E667" s="335">
        <v>600.55</v>
      </c>
    </row>
    <row r="668" spans="1:5" ht="15" hidden="1">
      <c r="A668" s="336" t="s">
        <v>31</v>
      </c>
      <c r="B668" s="45" t="s">
        <v>266</v>
      </c>
      <c r="C668" s="46"/>
      <c r="D668" s="46"/>
      <c r="E668" s="337"/>
    </row>
    <row r="669" spans="1:5" ht="15" hidden="1">
      <c r="A669" s="328" t="s">
        <v>35</v>
      </c>
      <c r="B669" s="26" t="s">
        <v>26</v>
      </c>
      <c r="C669" s="44" t="s">
        <v>33</v>
      </c>
      <c r="D669" s="26"/>
      <c r="E669" s="334"/>
    </row>
    <row r="670" spans="1:5" ht="15" hidden="1">
      <c r="A670" s="328" t="s">
        <v>36</v>
      </c>
      <c r="B670" s="26" t="s">
        <v>28</v>
      </c>
      <c r="C670" s="6" t="s">
        <v>33</v>
      </c>
      <c r="D670" s="26"/>
      <c r="E670" s="334"/>
    </row>
    <row r="671" spans="1:5" ht="15" hidden="1">
      <c r="A671" s="328" t="s">
        <v>37</v>
      </c>
      <c r="B671" s="26" t="s">
        <v>30</v>
      </c>
      <c r="C671" s="48" t="s">
        <v>33</v>
      </c>
      <c r="D671" s="26"/>
      <c r="E671" s="335">
        <v>507.94</v>
      </c>
    </row>
    <row r="672" spans="1:5" ht="15" hidden="1">
      <c r="A672" s="338" t="s">
        <v>34</v>
      </c>
      <c r="B672" s="50" t="s">
        <v>103</v>
      </c>
      <c r="C672" s="51"/>
      <c r="D672" s="51"/>
      <c r="E672" s="339"/>
    </row>
    <row r="673" spans="1:5" ht="15" hidden="1">
      <c r="A673" s="340" t="s">
        <v>38</v>
      </c>
      <c r="B673" s="49" t="s">
        <v>26</v>
      </c>
      <c r="C673" s="44" t="s">
        <v>33</v>
      </c>
      <c r="D673" s="26"/>
      <c r="E673" s="334">
        <f>Lapas3!D544</f>
        <v>0</v>
      </c>
    </row>
    <row r="674" spans="1:5" ht="15" hidden="1">
      <c r="A674" s="340" t="s">
        <v>39</v>
      </c>
      <c r="B674" s="26" t="s">
        <v>28</v>
      </c>
      <c r="C674" s="6" t="s">
        <v>33</v>
      </c>
      <c r="D674" s="26"/>
      <c r="E674" s="258"/>
    </row>
    <row r="675" spans="1:5" ht="15" hidden="1">
      <c r="A675" s="23" t="s">
        <v>40</v>
      </c>
      <c r="B675" s="42" t="s">
        <v>30</v>
      </c>
      <c r="C675" s="48" t="s">
        <v>33</v>
      </c>
      <c r="D675" s="26"/>
      <c r="E675" s="335">
        <v>795.81</v>
      </c>
    </row>
    <row r="676" spans="1:5" ht="15" hidden="1">
      <c r="A676" s="341" t="s">
        <v>42</v>
      </c>
      <c r="B676" s="58" t="s">
        <v>43</v>
      </c>
      <c r="C676" s="59"/>
      <c r="D676" s="59"/>
      <c r="E676" s="342"/>
    </row>
    <row r="677" spans="1:5" ht="15" hidden="1">
      <c r="A677" s="257" t="s">
        <v>44</v>
      </c>
      <c r="B677" s="26" t="s">
        <v>104</v>
      </c>
      <c r="C677" s="26"/>
      <c r="D677" s="26"/>
      <c r="E677" s="343" t="s">
        <v>106</v>
      </c>
    </row>
    <row r="678" spans="1:5" ht="15" hidden="1">
      <c r="A678" s="257" t="s">
        <v>45</v>
      </c>
      <c r="B678" s="26" t="s">
        <v>105</v>
      </c>
      <c r="C678" s="13" t="s">
        <v>59</v>
      </c>
      <c r="D678" s="26"/>
      <c r="E678" s="258">
        <v>0</v>
      </c>
    </row>
    <row r="679" spans="1:5" ht="17.25" hidden="1">
      <c r="A679" s="344" t="s">
        <v>46</v>
      </c>
      <c r="B679" s="144" t="s">
        <v>172</v>
      </c>
      <c r="C679" s="148" t="s">
        <v>59</v>
      </c>
      <c r="D679" s="149" t="s">
        <v>181</v>
      </c>
      <c r="E679" s="352">
        <f>E680+E681</f>
        <v>21.119502260838974</v>
      </c>
    </row>
    <row r="680" spans="1:5" ht="18.75" hidden="1">
      <c r="A680" s="257" t="s">
        <v>48</v>
      </c>
      <c r="B680" s="26" t="s">
        <v>49</v>
      </c>
      <c r="C680" s="61" t="s">
        <v>59</v>
      </c>
      <c r="D680" s="130" t="s">
        <v>173</v>
      </c>
      <c r="E680" s="334">
        <f>E657</f>
        <v>4.57</v>
      </c>
    </row>
    <row r="681" spans="1:5" ht="33" hidden="1">
      <c r="A681" s="329" t="s">
        <v>50</v>
      </c>
      <c r="B681" s="39" t="s">
        <v>51</v>
      </c>
      <c r="C681" s="30" t="s">
        <v>59</v>
      </c>
      <c r="D681" s="62" t="s">
        <v>20</v>
      </c>
      <c r="E681" s="346">
        <f>E658</f>
        <v>16.549502260838974</v>
      </c>
    </row>
    <row r="682" spans="1:5" ht="15" hidden="1">
      <c r="A682" s="257" t="s">
        <v>52</v>
      </c>
      <c r="B682" s="63" t="s">
        <v>53</v>
      </c>
      <c r="C682" s="37"/>
      <c r="D682" s="37"/>
      <c r="E682" s="331"/>
    </row>
    <row r="683" spans="1:5" ht="15" hidden="1">
      <c r="A683" s="257" t="s">
        <v>54</v>
      </c>
      <c r="B683" s="26" t="s">
        <v>55</v>
      </c>
      <c r="C683" s="13" t="s">
        <v>56</v>
      </c>
      <c r="D683" s="26"/>
      <c r="E683" s="258">
        <v>33.57</v>
      </c>
    </row>
    <row r="684" spans="1:5" ht="15" hidden="1">
      <c r="A684" s="257" t="s">
        <v>57</v>
      </c>
      <c r="B684" s="26" t="s">
        <v>58</v>
      </c>
      <c r="C684" s="13" t="s">
        <v>59</v>
      </c>
      <c r="D684" s="64" t="s">
        <v>47</v>
      </c>
      <c r="E684" s="258"/>
    </row>
    <row r="685" spans="1:5" ht="15" hidden="1">
      <c r="A685" s="324" t="s">
        <v>60</v>
      </c>
      <c r="B685" s="459" t="s">
        <v>61</v>
      </c>
      <c r="C685" s="460"/>
      <c r="D685" s="460"/>
      <c r="E685" s="461"/>
    </row>
    <row r="686" spans="1:5" ht="17.25" hidden="1">
      <c r="A686" s="14" t="s">
        <v>62</v>
      </c>
      <c r="B686" s="18" t="s">
        <v>182</v>
      </c>
      <c r="C686" s="11" t="s">
        <v>59</v>
      </c>
      <c r="D686" s="149" t="s">
        <v>180</v>
      </c>
      <c r="E686" s="327">
        <f>E687+E688</f>
        <v>6.846627562991333</v>
      </c>
    </row>
    <row r="687" spans="1:5" ht="18.75" hidden="1">
      <c r="A687" s="15" t="s">
        <v>63</v>
      </c>
      <c r="B687" s="16" t="s">
        <v>64</v>
      </c>
      <c r="C687" s="13" t="s">
        <v>59</v>
      </c>
      <c r="D687" s="130" t="s">
        <v>174</v>
      </c>
      <c r="E687" s="258">
        <v>2.39</v>
      </c>
    </row>
    <row r="688" spans="1:5" ht="18.75" hidden="1">
      <c r="A688" s="15" t="s">
        <v>65</v>
      </c>
      <c r="B688" s="17" t="s">
        <v>66</v>
      </c>
      <c r="C688" s="22"/>
      <c r="D688" s="142" t="s">
        <v>175</v>
      </c>
      <c r="E688" s="334">
        <f>0.39+(7.24*E656/37.6)</f>
        <v>4.456627562991334</v>
      </c>
    </row>
    <row r="689" spans="1:5" ht="15" hidden="1">
      <c r="A689" s="14" t="s">
        <v>67</v>
      </c>
      <c r="B689" s="18" t="s">
        <v>68</v>
      </c>
      <c r="C689" s="11"/>
      <c r="D689" s="26"/>
      <c r="E689" s="258"/>
    </row>
    <row r="690" spans="1:5" ht="15" hidden="1">
      <c r="A690" s="14" t="s">
        <v>69</v>
      </c>
      <c r="B690" s="19" t="s">
        <v>55</v>
      </c>
      <c r="C690" s="12" t="s">
        <v>56</v>
      </c>
      <c r="D690" s="26"/>
      <c r="E690" s="258"/>
    </row>
    <row r="691" spans="1:5" ht="18.75" hidden="1">
      <c r="A691" s="14" t="s">
        <v>70</v>
      </c>
      <c r="B691" s="19" t="s">
        <v>71</v>
      </c>
      <c r="C691" s="13" t="s">
        <v>59</v>
      </c>
      <c r="D691" s="130" t="s">
        <v>176</v>
      </c>
      <c r="E691" s="258"/>
    </row>
    <row r="692" spans="1:5" ht="15" hidden="1">
      <c r="A692" s="347" t="s">
        <v>72</v>
      </c>
      <c r="B692" s="454" t="s">
        <v>73</v>
      </c>
      <c r="C692" s="455"/>
      <c r="D692" s="455"/>
      <c r="E692" s="456"/>
    </row>
    <row r="693" spans="1:5" ht="15" hidden="1">
      <c r="A693" s="457" t="s">
        <v>79</v>
      </c>
      <c r="B693" s="20" t="s">
        <v>74</v>
      </c>
      <c r="C693" s="13" t="s">
        <v>59</v>
      </c>
      <c r="D693" s="132" t="s">
        <v>106</v>
      </c>
      <c r="E693" s="264">
        <v>0.31</v>
      </c>
    </row>
    <row r="694" spans="1:5" ht="15" hidden="1">
      <c r="A694" s="458"/>
      <c r="B694" s="21" t="s">
        <v>75</v>
      </c>
      <c r="C694" s="61" t="s">
        <v>76</v>
      </c>
      <c r="D694" s="132" t="s">
        <v>106</v>
      </c>
      <c r="E694" s="264">
        <v>2.32</v>
      </c>
    </row>
    <row r="695" spans="1:5" ht="15.75" hidden="1" thickBot="1">
      <c r="A695" s="458"/>
      <c r="B695" s="21" t="s">
        <v>77</v>
      </c>
      <c r="C695" s="131" t="s">
        <v>78</v>
      </c>
      <c r="D695" s="132" t="s">
        <v>106</v>
      </c>
      <c r="E695" s="264">
        <v>46.02</v>
      </c>
    </row>
    <row r="696" spans="1:5" ht="15" hidden="1">
      <c r="A696" s="347" t="s">
        <v>80</v>
      </c>
      <c r="B696" s="135" t="s">
        <v>81</v>
      </c>
      <c r="C696" s="13" t="s">
        <v>59</v>
      </c>
      <c r="D696" s="70"/>
      <c r="E696" s="264">
        <v>0.12</v>
      </c>
    </row>
    <row r="697" spans="1:5" ht="15" hidden="1">
      <c r="A697" s="347" t="s">
        <v>82</v>
      </c>
      <c r="B697" s="135" t="s">
        <v>83</v>
      </c>
      <c r="C697" s="13" t="s">
        <v>59</v>
      </c>
      <c r="D697" s="70"/>
      <c r="E697" s="264">
        <v>-0.27</v>
      </c>
    </row>
    <row r="698" spans="1:5" ht="15" hidden="1">
      <c r="A698" s="347" t="s">
        <v>84</v>
      </c>
      <c r="B698" s="135" t="s">
        <v>267</v>
      </c>
      <c r="C698" s="13" t="s">
        <v>59</v>
      </c>
      <c r="D698" s="70"/>
      <c r="E698" s="272">
        <f>E656+E686+E696+E697+E693</f>
        <v>28.126129823830308</v>
      </c>
    </row>
    <row r="699" spans="1:5" ht="15" hidden="1">
      <c r="A699" s="347" t="s">
        <v>85</v>
      </c>
      <c r="B699" s="135" t="s">
        <v>86</v>
      </c>
      <c r="C699" s="13" t="s">
        <v>59</v>
      </c>
      <c r="D699" s="70"/>
      <c r="E699" s="264">
        <v>0</v>
      </c>
    </row>
    <row r="700" spans="1:5" ht="15" hidden="1">
      <c r="A700" s="347" t="s">
        <v>87</v>
      </c>
      <c r="B700" s="135" t="s">
        <v>88</v>
      </c>
      <c r="C700" s="11" t="s">
        <v>59</v>
      </c>
      <c r="D700" s="137"/>
      <c r="E700" s="272">
        <f>E698</f>
        <v>28.126129823830308</v>
      </c>
    </row>
    <row r="701" spans="1:5" ht="15" hidden="1">
      <c r="A701" s="347" t="s">
        <v>89</v>
      </c>
      <c r="B701" s="135" t="s">
        <v>90</v>
      </c>
      <c r="C701" s="11" t="s">
        <v>59</v>
      </c>
      <c r="D701" s="137"/>
      <c r="E701" s="273">
        <f>E700*1.09</f>
        <v>30.65748150797504</v>
      </c>
    </row>
    <row r="702" spans="1:5" ht="15" hidden="1">
      <c r="A702" s="347" t="s">
        <v>91</v>
      </c>
      <c r="B702" s="135" t="s">
        <v>92</v>
      </c>
      <c r="C702" s="11" t="s">
        <v>59</v>
      </c>
      <c r="D702" s="137"/>
      <c r="E702" s="273">
        <f>E609</f>
        <v>27.79153485809883</v>
      </c>
    </row>
    <row r="703" spans="1:5" ht="15" hidden="1">
      <c r="A703" s="347" t="s">
        <v>93</v>
      </c>
      <c r="B703" s="135" t="s">
        <v>94</v>
      </c>
      <c r="C703" s="134" t="s">
        <v>95</v>
      </c>
      <c r="D703" s="137"/>
      <c r="E703" s="273">
        <f>(E698/E702)*100-100</f>
        <v>1.203945616677487</v>
      </c>
    </row>
    <row r="704" spans="1:5" ht="15" hidden="1">
      <c r="A704" s="347" t="s">
        <v>96</v>
      </c>
      <c r="B704" s="136" t="s">
        <v>97</v>
      </c>
      <c r="C704" s="138" t="s">
        <v>98</v>
      </c>
      <c r="D704" s="139"/>
      <c r="E704" s="348">
        <v>8.22</v>
      </c>
    </row>
    <row r="705" spans="1:5" ht="15" hidden="1">
      <c r="A705" s="347" t="s">
        <v>99</v>
      </c>
      <c r="B705" s="136" t="s">
        <v>100</v>
      </c>
      <c r="C705" s="133" t="s">
        <v>98</v>
      </c>
      <c r="D705" s="70"/>
      <c r="E705" s="348">
        <v>6.98</v>
      </c>
    </row>
    <row r="706" spans="1:5" ht="15.75" hidden="1" thickBot="1">
      <c r="A706" s="24" t="s">
        <v>101</v>
      </c>
      <c r="B706" s="25" t="s">
        <v>102</v>
      </c>
      <c r="C706" s="349" t="s">
        <v>98</v>
      </c>
      <c r="D706" s="350"/>
      <c r="E706" s="351">
        <v>0</v>
      </c>
    </row>
    <row r="707" ht="15" hidden="1"/>
    <row r="708" ht="15" hidden="1"/>
    <row r="709" ht="15" hidden="1"/>
    <row r="710" ht="15" hidden="1">
      <c r="B710" s="323"/>
    </row>
    <row r="711" spans="1:5" ht="15" hidden="1">
      <c r="A711" s="315"/>
      <c r="B711" s="315"/>
      <c r="C711" s="315"/>
      <c r="D711" s="315"/>
      <c r="E711" s="315"/>
    </row>
    <row r="712" spans="1:5" ht="15" hidden="1">
      <c r="A712" s="315"/>
      <c r="B712" s="315"/>
      <c r="C712" s="315"/>
      <c r="D712" s="315"/>
      <c r="E712" s="315"/>
    </row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spans="2:4" ht="15" hidden="1">
      <c r="B724" t="s">
        <v>189</v>
      </c>
      <c r="C724" t="s">
        <v>193</v>
      </c>
      <c r="D724" s="155" t="s">
        <v>190</v>
      </c>
    </row>
    <row r="725" ht="15" hidden="1">
      <c r="C725" s="162" t="s">
        <v>194</v>
      </c>
    </row>
    <row r="726" ht="15" hidden="1"/>
    <row r="727" ht="15" hidden="1"/>
    <row r="728" ht="15" hidden="1"/>
    <row r="729" spans="1:5" ht="15" hidden="1">
      <c r="A729" s="140" t="s">
        <v>0</v>
      </c>
      <c r="B729" s="140"/>
      <c r="C729" s="140"/>
      <c r="D729" s="140"/>
      <c r="E729" s="140" t="s">
        <v>107</v>
      </c>
    </row>
    <row r="730" spans="1:5" ht="15" hidden="1">
      <c r="A730" s="140" t="s">
        <v>1</v>
      </c>
      <c r="B730" s="140"/>
      <c r="C730" s="140"/>
      <c r="D730" s="140" t="s">
        <v>178</v>
      </c>
      <c r="E730" s="3"/>
    </row>
    <row r="731" spans="1:5" ht="15" hidden="1">
      <c r="A731" s="140" t="s">
        <v>2</v>
      </c>
      <c r="B731" s="140"/>
      <c r="C731" s="140"/>
      <c r="D731" s="140" t="s">
        <v>167</v>
      </c>
      <c r="E731" s="5"/>
    </row>
    <row r="732" spans="1:5" ht="15" hidden="1">
      <c r="A732" s="140" t="s">
        <v>3</v>
      </c>
      <c r="B732" s="140"/>
      <c r="C732" s="140"/>
      <c r="D732" s="140" t="s">
        <v>168</v>
      </c>
      <c r="E732" s="3"/>
    </row>
    <row r="733" spans="1:5" ht="15" hidden="1">
      <c r="A733" s="140" t="s">
        <v>4</v>
      </c>
      <c r="B733" s="140"/>
      <c r="C733" s="140"/>
      <c r="D733" s="140" t="s">
        <v>169</v>
      </c>
      <c r="E733" s="3"/>
    </row>
    <row r="734" spans="1:5" ht="15" hidden="1">
      <c r="A734" s="161" t="s">
        <v>192</v>
      </c>
      <c r="B734" s="140"/>
      <c r="C734" s="140"/>
      <c r="D734" s="140"/>
      <c r="E734" s="3"/>
    </row>
    <row r="735" spans="1:5" ht="15" hidden="1">
      <c r="A735" s="140" t="s">
        <v>5</v>
      </c>
      <c r="B735" s="140"/>
      <c r="C735" s="140"/>
      <c r="D735" s="140" t="s">
        <v>170</v>
      </c>
      <c r="E735" s="3"/>
    </row>
    <row r="736" spans="1:5" ht="15" hidden="1">
      <c r="A736" s="1"/>
      <c r="B736" s="1"/>
      <c r="C736" s="1"/>
      <c r="D736" s="1"/>
      <c r="E736" s="1"/>
    </row>
    <row r="737" spans="1:4" ht="15.75" hidden="1">
      <c r="A737" s="150"/>
      <c r="B737" s="150" t="s">
        <v>271</v>
      </c>
      <c r="C737" s="2"/>
      <c r="D737" s="2"/>
    </row>
    <row r="738" spans="1:4" ht="15.75" hidden="1">
      <c r="A738" s="150"/>
      <c r="B738" s="150"/>
      <c r="C738" s="159">
        <v>41718</v>
      </c>
      <c r="D738" s="2"/>
    </row>
    <row r="739" spans="1:4" ht="15.75" hidden="1">
      <c r="A739" s="150"/>
      <c r="B739" s="150"/>
      <c r="C739" s="160" t="s">
        <v>191</v>
      </c>
      <c r="D739" s="2"/>
    </row>
    <row r="740" spans="1:5" ht="15" hidden="1">
      <c r="A740" s="2" t="s">
        <v>6</v>
      </c>
      <c r="B740" s="2"/>
      <c r="C740" s="2"/>
      <c r="D740" s="2"/>
      <c r="E740" s="2"/>
    </row>
    <row r="741" spans="1:5" ht="15" hidden="1">
      <c r="A741" s="1" t="s">
        <v>260</v>
      </c>
      <c r="B741" s="1"/>
      <c r="C741" s="1"/>
      <c r="D741" s="1"/>
      <c r="E741" s="1"/>
    </row>
    <row r="742" spans="1:5" ht="15" hidden="1">
      <c r="A742" s="1" t="s">
        <v>7</v>
      </c>
      <c r="B742" s="1"/>
      <c r="C742" s="1"/>
      <c r="D742" s="1"/>
      <c r="E742" s="1"/>
    </row>
    <row r="743" spans="1:5" ht="15.75" hidden="1" thickBot="1">
      <c r="A743" s="252" t="s">
        <v>237</v>
      </c>
      <c r="B743" s="252"/>
      <c r="C743" s="252"/>
      <c r="D743" s="252"/>
      <c r="E743" s="1"/>
    </row>
    <row r="744" spans="1:5" ht="15" hidden="1">
      <c r="A744" s="253" t="s">
        <v>8</v>
      </c>
      <c r="B744" s="254" t="s">
        <v>9</v>
      </c>
      <c r="C744" s="254" t="s">
        <v>10</v>
      </c>
      <c r="D744" s="254" t="s">
        <v>11</v>
      </c>
      <c r="E744" s="256" t="s">
        <v>12</v>
      </c>
    </row>
    <row r="745" spans="1:5" ht="15" hidden="1">
      <c r="A745" s="257">
        <v>1</v>
      </c>
      <c r="B745" s="26">
        <v>2</v>
      </c>
      <c r="C745" s="26">
        <v>3</v>
      </c>
      <c r="D745" s="26">
        <v>4</v>
      </c>
      <c r="E745" s="258">
        <v>5</v>
      </c>
    </row>
    <row r="746" spans="1:5" ht="15" hidden="1">
      <c r="A746" s="324" t="s">
        <v>13</v>
      </c>
      <c r="B746" s="28" t="s">
        <v>14</v>
      </c>
      <c r="C746" s="28"/>
      <c r="D746" s="28"/>
      <c r="E746" s="325"/>
    </row>
    <row r="747" spans="1:5" ht="17.25" hidden="1">
      <c r="A747" s="324" t="s">
        <v>15</v>
      </c>
      <c r="B747" s="141" t="s">
        <v>183</v>
      </c>
      <c r="C747" s="11" t="s">
        <v>59</v>
      </c>
      <c r="D747" s="326" t="s">
        <v>179</v>
      </c>
      <c r="E747" s="327">
        <f>E748+E749</f>
        <v>20.901834402178537</v>
      </c>
    </row>
    <row r="748" spans="1:5" ht="18.75" hidden="1">
      <c r="A748" s="328" t="s">
        <v>16</v>
      </c>
      <c r="B748" s="26" t="s">
        <v>18</v>
      </c>
      <c r="C748" s="13" t="s">
        <v>59</v>
      </c>
      <c r="D748" s="130" t="s">
        <v>171</v>
      </c>
      <c r="E748" s="4">
        <v>4.57</v>
      </c>
    </row>
    <row r="749" spans="1:5" ht="33" hidden="1">
      <c r="A749" s="329" t="s">
        <v>17</v>
      </c>
      <c r="B749" s="158" t="s">
        <v>19</v>
      </c>
      <c r="C749" s="30" t="s">
        <v>59</v>
      </c>
      <c r="D749" s="31" t="s">
        <v>20</v>
      </c>
      <c r="E749" s="330">
        <f>0.28+((4325*E754+226*E762+106.1*E758+509*E766)/(44.84*1000))/10</f>
        <v>16.331834402178536</v>
      </c>
    </row>
    <row r="750" spans="1:5" ht="15" hidden="1">
      <c r="A750" s="328" t="s">
        <v>21</v>
      </c>
      <c r="B750" s="33" t="s">
        <v>22</v>
      </c>
      <c r="C750" s="34"/>
      <c r="D750" s="37"/>
      <c r="E750" s="331"/>
    </row>
    <row r="751" spans="1:5" ht="15" hidden="1">
      <c r="A751" s="332" t="s">
        <v>23</v>
      </c>
      <c r="B751" s="54" t="s">
        <v>24</v>
      </c>
      <c r="C751" s="55"/>
      <c r="D751" s="55"/>
      <c r="E751" s="333"/>
    </row>
    <row r="752" spans="1:5" ht="15" hidden="1">
      <c r="A752" s="328" t="s">
        <v>25</v>
      </c>
      <c r="B752" s="26" t="s">
        <v>26</v>
      </c>
      <c r="C752" s="36" t="s">
        <v>41</v>
      </c>
      <c r="D752" s="26"/>
      <c r="E752" s="334">
        <f>Lapas3!D528</f>
        <v>1213.2599951299087</v>
      </c>
    </row>
    <row r="753" spans="1:5" ht="15" hidden="1">
      <c r="A753" s="328" t="s">
        <v>27</v>
      </c>
      <c r="B753" s="26" t="s">
        <v>28</v>
      </c>
      <c r="C753" s="7" t="s">
        <v>41</v>
      </c>
      <c r="D753" s="26"/>
      <c r="E753" s="258">
        <v>313.23</v>
      </c>
    </row>
    <row r="754" spans="1:5" ht="15" hidden="1">
      <c r="A754" s="328" t="s">
        <v>29</v>
      </c>
      <c r="B754" s="42" t="s">
        <v>30</v>
      </c>
      <c r="C754" s="43" t="s">
        <v>41</v>
      </c>
      <c r="D754" s="26"/>
      <c r="E754" s="335">
        <f>E752+E753</f>
        <v>1526.4899951299087</v>
      </c>
    </row>
    <row r="755" spans="1:5" ht="15" hidden="1">
      <c r="A755" s="336" t="s">
        <v>31</v>
      </c>
      <c r="B755" s="45" t="s">
        <v>265</v>
      </c>
      <c r="C755" s="46"/>
      <c r="D755" s="46"/>
      <c r="E755" s="337"/>
    </row>
    <row r="756" spans="1:5" ht="15" hidden="1">
      <c r="A756" s="328" t="s">
        <v>35</v>
      </c>
      <c r="B756" s="26" t="s">
        <v>26</v>
      </c>
      <c r="C756" s="44" t="s">
        <v>33</v>
      </c>
      <c r="D756" s="26"/>
      <c r="E756" s="334"/>
    </row>
    <row r="757" spans="1:5" ht="15" hidden="1">
      <c r="A757" s="328" t="s">
        <v>36</v>
      </c>
      <c r="B757" s="26" t="s">
        <v>28</v>
      </c>
      <c r="C757" s="6" t="s">
        <v>33</v>
      </c>
      <c r="D757" s="26"/>
      <c r="E757" s="334"/>
    </row>
    <row r="758" spans="1:5" ht="15" hidden="1">
      <c r="A758" s="328" t="s">
        <v>37</v>
      </c>
      <c r="B758" s="26" t="s">
        <v>30</v>
      </c>
      <c r="C758" s="48" t="s">
        <v>33</v>
      </c>
      <c r="D758" s="26"/>
      <c r="E758" s="335">
        <v>642.87</v>
      </c>
    </row>
    <row r="759" spans="1:5" ht="15" hidden="1">
      <c r="A759" s="336" t="s">
        <v>31</v>
      </c>
      <c r="B759" s="45" t="s">
        <v>266</v>
      </c>
      <c r="C759" s="46"/>
      <c r="D759" s="46"/>
      <c r="E759" s="337"/>
    </row>
    <row r="760" spans="1:5" ht="15" hidden="1">
      <c r="A760" s="328" t="s">
        <v>35</v>
      </c>
      <c r="B760" s="26" t="s">
        <v>26</v>
      </c>
      <c r="C760" s="44" t="s">
        <v>33</v>
      </c>
      <c r="D760" s="26"/>
      <c r="E760" s="334"/>
    </row>
    <row r="761" spans="1:5" ht="15" hidden="1">
      <c r="A761" s="328" t="s">
        <v>36</v>
      </c>
      <c r="B761" s="26" t="s">
        <v>28</v>
      </c>
      <c r="C761" s="6" t="s">
        <v>33</v>
      </c>
      <c r="D761" s="26"/>
      <c r="E761" s="334"/>
    </row>
    <row r="762" spans="1:5" ht="15" hidden="1">
      <c r="A762" s="328" t="s">
        <v>37</v>
      </c>
      <c r="B762" s="26" t="s">
        <v>30</v>
      </c>
      <c r="C762" s="48" t="s">
        <v>33</v>
      </c>
      <c r="D762" s="26"/>
      <c r="E762" s="335">
        <v>572.22</v>
      </c>
    </row>
    <row r="763" spans="1:5" ht="15" hidden="1">
      <c r="A763" s="338" t="s">
        <v>34</v>
      </c>
      <c r="B763" s="50" t="s">
        <v>103</v>
      </c>
      <c r="C763" s="51"/>
      <c r="D763" s="51"/>
      <c r="E763" s="339"/>
    </row>
    <row r="764" spans="1:5" ht="15" hidden="1">
      <c r="A764" s="340" t="s">
        <v>38</v>
      </c>
      <c r="B764" s="49" t="s">
        <v>26</v>
      </c>
      <c r="C764" s="44" t="s">
        <v>33</v>
      </c>
      <c r="D764" s="26"/>
      <c r="E764" s="334">
        <f>Lapas3!D635</f>
        <v>0</v>
      </c>
    </row>
    <row r="765" spans="1:5" ht="15" hidden="1">
      <c r="A765" s="340" t="s">
        <v>39</v>
      </c>
      <c r="B765" s="26" t="s">
        <v>28</v>
      </c>
      <c r="C765" s="6" t="s">
        <v>33</v>
      </c>
      <c r="D765" s="26"/>
      <c r="E765" s="258"/>
    </row>
    <row r="766" spans="1:5" ht="15" hidden="1">
      <c r="A766" s="23" t="s">
        <v>40</v>
      </c>
      <c r="B766" s="42" t="s">
        <v>30</v>
      </c>
      <c r="C766" s="48" t="s">
        <v>33</v>
      </c>
      <c r="D766" s="26"/>
      <c r="E766" s="335">
        <v>782.01</v>
      </c>
    </row>
    <row r="767" spans="1:5" ht="15" hidden="1">
      <c r="A767" s="341" t="s">
        <v>42</v>
      </c>
      <c r="B767" s="58" t="s">
        <v>43</v>
      </c>
      <c r="C767" s="59"/>
      <c r="D767" s="59"/>
      <c r="E767" s="342"/>
    </row>
    <row r="768" spans="1:5" ht="15" hidden="1">
      <c r="A768" s="257" t="s">
        <v>44</v>
      </c>
      <c r="B768" s="26" t="s">
        <v>104</v>
      </c>
      <c r="C768" s="26"/>
      <c r="D768" s="26"/>
      <c r="E768" s="343" t="s">
        <v>106</v>
      </c>
    </row>
    <row r="769" spans="1:5" ht="15" hidden="1">
      <c r="A769" s="257" t="s">
        <v>45</v>
      </c>
      <c r="B769" s="26" t="s">
        <v>105</v>
      </c>
      <c r="C769" s="13" t="s">
        <v>59</v>
      </c>
      <c r="D769" s="26"/>
      <c r="E769" s="258">
        <v>0</v>
      </c>
    </row>
    <row r="770" spans="1:5" ht="17.25" hidden="1">
      <c r="A770" s="344" t="s">
        <v>46</v>
      </c>
      <c r="B770" s="144" t="s">
        <v>172</v>
      </c>
      <c r="C770" s="148" t="s">
        <v>59</v>
      </c>
      <c r="D770" s="149" t="s">
        <v>181</v>
      </c>
      <c r="E770" s="352">
        <f>E771+E772</f>
        <v>20.901834402178537</v>
      </c>
    </row>
    <row r="771" spans="1:5" ht="18.75" hidden="1">
      <c r="A771" s="257" t="s">
        <v>48</v>
      </c>
      <c r="B771" s="26" t="s">
        <v>49</v>
      </c>
      <c r="C771" s="61" t="s">
        <v>59</v>
      </c>
      <c r="D771" s="130" t="s">
        <v>173</v>
      </c>
      <c r="E771" s="334">
        <f>E748</f>
        <v>4.57</v>
      </c>
    </row>
    <row r="772" spans="1:5" ht="33" hidden="1">
      <c r="A772" s="329" t="s">
        <v>50</v>
      </c>
      <c r="B772" s="39" t="s">
        <v>51</v>
      </c>
      <c r="C772" s="30" t="s">
        <v>59</v>
      </c>
      <c r="D772" s="62" t="s">
        <v>20</v>
      </c>
      <c r="E772" s="346">
        <f>E749</f>
        <v>16.331834402178536</v>
      </c>
    </row>
    <row r="773" spans="1:5" ht="15" hidden="1">
      <c r="A773" s="257" t="s">
        <v>52</v>
      </c>
      <c r="B773" s="63" t="s">
        <v>53</v>
      </c>
      <c r="C773" s="37"/>
      <c r="D773" s="37"/>
      <c r="E773" s="331"/>
    </row>
    <row r="774" spans="1:5" ht="15" hidden="1">
      <c r="A774" s="257" t="s">
        <v>54</v>
      </c>
      <c r="B774" s="26" t="s">
        <v>55</v>
      </c>
      <c r="C774" s="13" t="s">
        <v>56</v>
      </c>
      <c r="D774" s="26"/>
      <c r="E774" s="258">
        <v>33.57</v>
      </c>
    </row>
    <row r="775" spans="1:5" ht="15" hidden="1">
      <c r="A775" s="257" t="s">
        <v>57</v>
      </c>
      <c r="B775" s="26" t="s">
        <v>58</v>
      </c>
      <c r="C775" s="13" t="s">
        <v>59</v>
      </c>
      <c r="D775" s="64" t="s">
        <v>47</v>
      </c>
      <c r="E775" s="258"/>
    </row>
    <row r="776" spans="1:5" ht="15" hidden="1">
      <c r="A776" s="324" t="s">
        <v>60</v>
      </c>
      <c r="B776" s="459" t="s">
        <v>61</v>
      </c>
      <c r="C776" s="460"/>
      <c r="D776" s="460"/>
      <c r="E776" s="461"/>
    </row>
    <row r="777" spans="1:5" ht="17.25" hidden="1">
      <c r="A777" s="14" t="s">
        <v>62</v>
      </c>
      <c r="B777" s="18" t="s">
        <v>182</v>
      </c>
      <c r="C777" s="11" t="s">
        <v>59</v>
      </c>
      <c r="D777" s="149" t="s">
        <v>180</v>
      </c>
      <c r="E777" s="327">
        <f>E778+E779</f>
        <v>6.804714922121612</v>
      </c>
    </row>
    <row r="778" spans="1:5" ht="18.75" hidden="1">
      <c r="A778" s="15" t="s">
        <v>63</v>
      </c>
      <c r="B778" s="16" t="s">
        <v>64</v>
      </c>
      <c r="C778" s="13" t="s">
        <v>59</v>
      </c>
      <c r="D778" s="130" t="s">
        <v>174</v>
      </c>
      <c r="E778" s="258">
        <v>2.39</v>
      </c>
    </row>
    <row r="779" spans="1:5" ht="18.75" hidden="1">
      <c r="A779" s="15" t="s">
        <v>65</v>
      </c>
      <c r="B779" s="17" t="s">
        <v>66</v>
      </c>
      <c r="C779" s="22"/>
      <c r="D779" s="142" t="s">
        <v>175</v>
      </c>
      <c r="E779" s="334">
        <f>0.39+(7.24*E747/37.6)</f>
        <v>4.414714922121612</v>
      </c>
    </row>
    <row r="780" spans="1:5" ht="15" hidden="1">
      <c r="A780" s="14" t="s">
        <v>67</v>
      </c>
      <c r="B780" s="18" t="s">
        <v>68</v>
      </c>
      <c r="C780" s="11"/>
      <c r="D780" s="26"/>
      <c r="E780" s="258"/>
    </row>
    <row r="781" spans="1:5" ht="15" hidden="1">
      <c r="A781" s="14" t="s">
        <v>69</v>
      </c>
      <c r="B781" s="19" t="s">
        <v>55</v>
      </c>
      <c r="C781" s="12" t="s">
        <v>56</v>
      </c>
      <c r="D781" s="26"/>
      <c r="E781" s="258"/>
    </row>
    <row r="782" spans="1:5" ht="18.75" hidden="1">
      <c r="A782" s="14" t="s">
        <v>70</v>
      </c>
      <c r="B782" s="19" t="s">
        <v>71</v>
      </c>
      <c r="C782" s="13" t="s">
        <v>59</v>
      </c>
      <c r="D782" s="130" t="s">
        <v>176</v>
      </c>
      <c r="E782" s="258"/>
    </row>
    <row r="783" spans="1:5" ht="15" hidden="1">
      <c r="A783" s="347" t="s">
        <v>72</v>
      </c>
      <c r="B783" s="454" t="s">
        <v>73</v>
      </c>
      <c r="C783" s="455"/>
      <c r="D783" s="455"/>
      <c r="E783" s="456"/>
    </row>
    <row r="784" spans="1:5" ht="15" hidden="1">
      <c r="A784" s="457" t="s">
        <v>79</v>
      </c>
      <c r="B784" s="20" t="s">
        <v>74</v>
      </c>
      <c r="C784" s="13" t="s">
        <v>59</v>
      </c>
      <c r="D784" s="132" t="s">
        <v>106</v>
      </c>
      <c r="E784" s="264">
        <v>0.31</v>
      </c>
    </row>
    <row r="785" spans="1:5" ht="15" hidden="1">
      <c r="A785" s="458"/>
      <c r="B785" s="21" t="s">
        <v>75</v>
      </c>
      <c r="C785" s="61" t="s">
        <v>76</v>
      </c>
      <c r="D785" s="132" t="s">
        <v>106</v>
      </c>
      <c r="E785" s="264">
        <v>2.32</v>
      </c>
    </row>
    <row r="786" spans="1:5" ht="15.75" hidden="1" thickBot="1">
      <c r="A786" s="458"/>
      <c r="B786" s="21" t="s">
        <v>77</v>
      </c>
      <c r="C786" s="131" t="s">
        <v>78</v>
      </c>
      <c r="D786" s="132" t="s">
        <v>106</v>
      </c>
      <c r="E786" s="264">
        <v>46.02</v>
      </c>
    </row>
    <row r="787" spans="1:5" ht="15" hidden="1">
      <c r="A787" s="347" t="s">
        <v>80</v>
      </c>
      <c r="B787" s="135" t="s">
        <v>81</v>
      </c>
      <c r="C787" s="13" t="s">
        <v>59</v>
      </c>
      <c r="D787" s="70"/>
      <c r="E787" s="264">
        <v>0.12</v>
      </c>
    </row>
    <row r="788" spans="1:5" ht="15" hidden="1">
      <c r="A788" s="347" t="s">
        <v>82</v>
      </c>
      <c r="B788" s="135" t="s">
        <v>83</v>
      </c>
      <c r="C788" s="13" t="s">
        <v>59</v>
      </c>
      <c r="D788" s="70"/>
      <c r="E788" s="264">
        <v>-0.27</v>
      </c>
    </row>
    <row r="789" spans="1:5" ht="15" hidden="1">
      <c r="A789" s="347" t="s">
        <v>84</v>
      </c>
      <c r="B789" s="135" t="s">
        <v>267</v>
      </c>
      <c r="C789" s="13" t="s">
        <v>59</v>
      </c>
      <c r="D789" s="70"/>
      <c r="E789" s="272">
        <f>20.9+6.8+0.31+0.12+-0.27</f>
        <v>27.86</v>
      </c>
    </row>
    <row r="790" spans="1:5" ht="15" hidden="1">
      <c r="A790" s="347" t="s">
        <v>85</v>
      </c>
      <c r="B790" s="135" t="s">
        <v>86</v>
      </c>
      <c r="C790" s="13" t="s">
        <v>59</v>
      </c>
      <c r="D790" s="70"/>
      <c r="E790" s="264">
        <v>0</v>
      </c>
    </row>
    <row r="791" spans="1:5" ht="15" hidden="1">
      <c r="A791" s="347" t="s">
        <v>87</v>
      </c>
      <c r="B791" s="135" t="s">
        <v>88</v>
      </c>
      <c r="C791" s="11" t="s">
        <v>59</v>
      </c>
      <c r="D791" s="137"/>
      <c r="E791" s="272">
        <f>E789</f>
        <v>27.86</v>
      </c>
    </row>
    <row r="792" spans="1:5" ht="15" hidden="1">
      <c r="A792" s="347" t="s">
        <v>89</v>
      </c>
      <c r="B792" s="135" t="s">
        <v>90</v>
      </c>
      <c r="C792" s="11" t="s">
        <v>59</v>
      </c>
      <c r="D792" s="137"/>
      <c r="E792" s="273">
        <f>E791*1.09</f>
        <v>30.3674</v>
      </c>
    </row>
    <row r="793" spans="1:5" ht="15" hidden="1">
      <c r="A793" s="347" t="s">
        <v>91</v>
      </c>
      <c r="B793" s="135" t="s">
        <v>92</v>
      </c>
      <c r="C793" s="11" t="s">
        <v>59</v>
      </c>
      <c r="D793" s="137"/>
      <c r="E793" s="273">
        <f>E700</f>
        <v>28.126129823830308</v>
      </c>
    </row>
    <row r="794" spans="1:5" ht="15" hidden="1">
      <c r="A794" s="347" t="s">
        <v>93</v>
      </c>
      <c r="B794" s="135" t="s">
        <v>94</v>
      </c>
      <c r="C794" s="134" t="s">
        <v>95</v>
      </c>
      <c r="D794" s="137"/>
      <c r="E794" s="273">
        <f>(E789/E793)*100-100</f>
        <v>-0.946201363277595</v>
      </c>
    </row>
    <row r="795" spans="1:5" ht="15" hidden="1">
      <c r="A795" s="347" t="s">
        <v>96</v>
      </c>
      <c r="B795" s="136" t="s">
        <v>97</v>
      </c>
      <c r="C795" s="138" t="s">
        <v>98</v>
      </c>
      <c r="D795" s="139"/>
      <c r="E795" s="348">
        <v>5.68</v>
      </c>
    </row>
    <row r="796" spans="1:5" ht="15" hidden="1">
      <c r="A796" s="347" t="s">
        <v>99</v>
      </c>
      <c r="B796" s="136" t="s">
        <v>100</v>
      </c>
      <c r="C796" s="133" t="s">
        <v>98</v>
      </c>
      <c r="D796" s="70"/>
      <c r="E796" s="348">
        <v>5.26</v>
      </c>
    </row>
    <row r="797" spans="1:5" ht="15.75" hidden="1" thickBot="1">
      <c r="A797" s="24" t="s">
        <v>101</v>
      </c>
      <c r="B797" s="25" t="s">
        <v>102</v>
      </c>
      <c r="C797" s="349" t="s">
        <v>98</v>
      </c>
      <c r="D797" s="350"/>
      <c r="E797" s="351">
        <v>0</v>
      </c>
    </row>
    <row r="798" ht="15" hidden="1"/>
    <row r="799" ht="15" hidden="1"/>
    <row r="800" ht="15" hidden="1"/>
    <row r="801" ht="15" hidden="1">
      <c r="B801" s="323"/>
    </row>
    <row r="802" spans="1:5" ht="15" hidden="1">
      <c r="A802" s="315"/>
      <c r="B802" s="315"/>
      <c r="C802" s="315"/>
      <c r="D802" s="315"/>
      <c r="E802" s="315"/>
    </row>
    <row r="803" spans="1:5" ht="15" hidden="1">
      <c r="A803" s="315"/>
      <c r="B803" s="315"/>
      <c r="C803" s="315"/>
      <c r="D803" s="315"/>
      <c r="E803" s="315"/>
    </row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spans="2:4" ht="15" hidden="1">
      <c r="B815" t="s">
        <v>189</v>
      </c>
      <c r="C815" t="s">
        <v>193</v>
      </c>
      <c r="D815" s="155" t="s">
        <v>190</v>
      </c>
    </row>
    <row r="816" ht="15" hidden="1">
      <c r="C816" s="162" t="s">
        <v>194</v>
      </c>
    </row>
    <row r="817" ht="15" hidden="1"/>
    <row r="818" ht="15" hidden="1"/>
    <row r="819" ht="15" hidden="1"/>
    <row r="820" spans="1:5" ht="15" hidden="1">
      <c r="A820" s="140" t="s">
        <v>0</v>
      </c>
      <c r="B820" s="140"/>
      <c r="C820" s="140"/>
      <c r="D820" s="140"/>
      <c r="E820" s="140" t="s">
        <v>107</v>
      </c>
    </row>
    <row r="821" spans="1:5" ht="15" hidden="1">
      <c r="A821" s="140" t="s">
        <v>1</v>
      </c>
      <c r="B821" s="140"/>
      <c r="C821" s="140"/>
      <c r="D821" s="140" t="s">
        <v>178</v>
      </c>
      <c r="E821" s="3"/>
    </row>
    <row r="822" spans="1:5" ht="15" hidden="1">
      <c r="A822" s="140" t="s">
        <v>2</v>
      </c>
      <c r="B822" s="140"/>
      <c r="C822" s="140"/>
      <c r="D822" s="140" t="s">
        <v>167</v>
      </c>
      <c r="E822" s="5"/>
    </row>
    <row r="823" spans="1:5" ht="15" hidden="1">
      <c r="A823" s="140" t="s">
        <v>3</v>
      </c>
      <c r="B823" s="140"/>
      <c r="C823" s="140"/>
      <c r="D823" s="140" t="s">
        <v>168</v>
      </c>
      <c r="E823" s="3"/>
    </row>
    <row r="824" spans="1:5" ht="15" hidden="1">
      <c r="A824" s="140" t="s">
        <v>4</v>
      </c>
      <c r="B824" s="140"/>
      <c r="C824" s="140"/>
      <c r="D824" s="140" t="s">
        <v>169</v>
      </c>
      <c r="E824" s="3"/>
    </row>
    <row r="825" spans="1:5" ht="15" hidden="1">
      <c r="A825" s="161" t="s">
        <v>192</v>
      </c>
      <c r="B825" s="140"/>
      <c r="C825" s="140"/>
      <c r="D825" s="140"/>
      <c r="E825" s="3"/>
    </row>
    <row r="826" spans="1:5" ht="15" hidden="1">
      <c r="A826" s="140" t="s">
        <v>5</v>
      </c>
      <c r="B826" s="140"/>
      <c r="C826" s="140"/>
      <c r="D826" s="140" t="s">
        <v>170</v>
      </c>
      <c r="E826" s="3"/>
    </row>
    <row r="827" spans="1:5" ht="15" hidden="1">
      <c r="A827" s="1"/>
      <c r="B827" s="1"/>
      <c r="C827" s="1"/>
      <c r="D827" s="1"/>
      <c r="E827" s="1"/>
    </row>
    <row r="828" spans="1:4" ht="15.75" hidden="1">
      <c r="A828" s="150"/>
      <c r="B828" s="150" t="s">
        <v>277</v>
      </c>
      <c r="C828" s="2"/>
      <c r="D828" s="2"/>
    </row>
    <row r="829" spans="1:4" ht="15.75" hidden="1">
      <c r="A829" s="150"/>
      <c r="B829" s="150"/>
      <c r="C829" s="159">
        <v>41754</v>
      </c>
      <c r="D829" s="2"/>
    </row>
    <row r="830" spans="1:4" ht="15.75" hidden="1">
      <c r="A830" s="150"/>
      <c r="B830" s="150"/>
      <c r="C830" s="160" t="s">
        <v>191</v>
      </c>
      <c r="D830" s="2"/>
    </row>
    <row r="831" spans="1:5" ht="15" hidden="1">
      <c r="A831" s="2" t="s">
        <v>6</v>
      </c>
      <c r="B831" s="2"/>
      <c r="C831" s="2"/>
      <c r="D831" s="2"/>
      <c r="E831" s="2"/>
    </row>
    <row r="832" spans="1:5" ht="15" hidden="1">
      <c r="A832" s="1" t="s">
        <v>260</v>
      </c>
      <c r="B832" s="1"/>
      <c r="C832" s="1"/>
      <c r="D832" s="1"/>
      <c r="E832" s="1"/>
    </row>
    <row r="833" spans="1:5" ht="15" hidden="1">
      <c r="A833" s="1" t="s">
        <v>7</v>
      </c>
      <c r="B833" s="1"/>
      <c r="C833" s="1"/>
      <c r="D833" s="1"/>
      <c r="E833" s="1"/>
    </row>
    <row r="834" spans="1:5" ht="15.75" hidden="1" thickBot="1">
      <c r="A834" s="359" t="s">
        <v>281</v>
      </c>
      <c r="B834" s="359"/>
      <c r="C834" s="359"/>
      <c r="D834" s="359"/>
      <c r="E834" s="360"/>
    </row>
    <row r="835" spans="1:5" ht="15" hidden="1">
      <c r="A835" s="253" t="s">
        <v>8</v>
      </c>
      <c r="B835" s="254" t="s">
        <v>9</v>
      </c>
      <c r="C835" s="254" t="s">
        <v>10</v>
      </c>
      <c r="D835" s="254" t="s">
        <v>11</v>
      </c>
      <c r="E835" s="256" t="s">
        <v>12</v>
      </c>
    </row>
    <row r="836" spans="1:5" ht="15" hidden="1">
      <c r="A836" s="257">
        <v>1</v>
      </c>
      <c r="B836" s="26">
        <v>2</v>
      </c>
      <c r="C836" s="26">
        <v>3</v>
      </c>
      <c r="D836" s="26">
        <v>4</v>
      </c>
      <c r="E836" s="258">
        <v>5</v>
      </c>
    </row>
    <row r="837" spans="1:5" ht="15" hidden="1">
      <c r="A837" s="324" t="s">
        <v>13</v>
      </c>
      <c r="B837" s="28" t="s">
        <v>14</v>
      </c>
      <c r="C837" s="28"/>
      <c r="D837" s="28"/>
      <c r="E837" s="325"/>
    </row>
    <row r="838" spans="1:5" ht="17.25" hidden="1">
      <c r="A838" s="324" t="s">
        <v>15</v>
      </c>
      <c r="B838" s="141" t="s">
        <v>183</v>
      </c>
      <c r="C838" s="11" t="s">
        <v>59</v>
      </c>
      <c r="D838" s="326" t="s">
        <v>179</v>
      </c>
      <c r="E838" s="327">
        <f>E839+E840</f>
        <v>20.963812981712756</v>
      </c>
    </row>
    <row r="839" spans="1:5" ht="18.75" hidden="1">
      <c r="A839" s="328" t="s">
        <v>16</v>
      </c>
      <c r="B839" s="26" t="s">
        <v>18</v>
      </c>
      <c r="C839" s="13" t="s">
        <v>59</v>
      </c>
      <c r="D839" s="130" t="s">
        <v>171</v>
      </c>
      <c r="E839" s="4">
        <v>4.57</v>
      </c>
    </row>
    <row r="840" spans="1:5" ht="33" hidden="1">
      <c r="A840" s="329" t="s">
        <v>17</v>
      </c>
      <c r="B840" s="158" t="s">
        <v>19</v>
      </c>
      <c r="C840" s="30" t="s">
        <v>59</v>
      </c>
      <c r="D840" s="31" t="s">
        <v>278</v>
      </c>
      <c r="E840" s="330">
        <f>0.29+((4325*E845+226*E853+106.1*E849+509*E857)/(44.84*1000))/10</f>
        <v>16.393812981712756</v>
      </c>
    </row>
    <row r="841" spans="1:5" ht="15" hidden="1">
      <c r="A841" s="328" t="s">
        <v>21</v>
      </c>
      <c r="B841" s="33" t="s">
        <v>22</v>
      </c>
      <c r="C841" s="34"/>
      <c r="D841" s="37"/>
      <c r="E841" s="331"/>
    </row>
    <row r="842" spans="1:5" ht="15" hidden="1">
      <c r="A842" s="332" t="s">
        <v>23</v>
      </c>
      <c r="B842" s="54" t="s">
        <v>24</v>
      </c>
      <c r="C842" s="55"/>
      <c r="D842" s="55"/>
      <c r="E842" s="333"/>
    </row>
    <row r="843" spans="1:5" ht="15" hidden="1">
      <c r="A843" s="328" t="s">
        <v>25</v>
      </c>
      <c r="B843" s="26" t="s">
        <v>26</v>
      </c>
      <c r="C843" s="36" t="s">
        <v>41</v>
      </c>
      <c r="D843" s="26"/>
      <c r="E843" s="334">
        <v>1217.45</v>
      </c>
    </row>
    <row r="844" spans="1:5" ht="15" hidden="1">
      <c r="A844" s="328" t="s">
        <v>27</v>
      </c>
      <c r="B844" s="26" t="s">
        <v>28</v>
      </c>
      <c r="C844" s="7" t="s">
        <v>41</v>
      </c>
      <c r="D844" s="26"/>
      <c r="E844" s="258">
        <v>313.23</v>
      </c>
    </row>
    <row r="845" spans="1:6" ht="15" hidden="1">
      <c r="A845" s="328" t="s">
        <v>29</v>
      </c>
      <c r="B845" s="42" t="s">
        <v>30</v>
      </c>
      <c r="C845" s="43" t="s">
        <v>41</v>
      </c>
      <c r="D845" s="26"/>
      <c r="E845" s="335">
        <f>E843+E844</f>
        <v>1530.68</v>
      </c>
      <c r="F845" s="156">
        <f>E845*4325</f>
        <v>6620191</v>
      </c>
    </row>
    <row r="846" spans="1:6" ht="15" hidden="1">
      <c r="A846" s="336" t="s">
        <v>31</v>
      </c>
      <c r="B846" s="45" t="s">
        <v>265</v>
      </c>
      <c r="C846" s="46"/>
      <c r="D846" s="46"/>
      <c r="E846" s="337"/>
      <c r="F846" s="156">
        <f>E849*106.1</f>
        <v>67151.75099999999</v>
      </c>
    </row>
    <row r="847" spans="1:6" ht="15" hidden="1">
      <c r="A847" s="328" t="s">
        <v>35</v>
      </c>
      <c r="B847" s="26" t="s">
        <v>26</v>
      </c>
      <c r="C847" s="44" t="s">
        <v>33</v>
      </c>
      <c r="D847" s="26"/>
      <c r="E847" s="334"/>
      <c r="F847" s="156">
        <f>E853*226</f>
        <v>125149.76</v>
      </c>
    </row>
    <row r="848" spans="1:6" ht="15" hidden="1">
      <c r="A848" s="328" t="s">
        <v>36</v>
      </c>
      <c r="B848" s="26" t="s">
        <v>28</v>
      </c>
      <c r="C848" s="6" t="s">
        <v>33</v>
      </c>
      <c r="D848" s="26"/>
      <c r="E848" s="334"/>
      <c r="F848" s="156">
        <f>E857*509</f>
        <v>408457.23000000004</v>
      </c>
    </row>
    <row r="849" spans="1:6" ht="15" hidden="1">
      <c r="A849" s="328" t="s">
        <v>37</v>
      </c>
      <c r="B849" s="26" t="s">
        <v>30</v>
      </c>
      <c r="C849" s="48" t="s">
        <v>33</v>
      </c>
      <c r="D849" s="26"/>
      <c r="E849" s="335">
        <v>632.91</v>
      </c>
      <c r="F849" s="156"/>
    </row>
    <row r="850" spans="1:6" ht="15" hidden="1">
      <c r="A850" s="336" t="s">
        <v>31</v>
      </c>
      <c r="B850" s="45" t="s">
        <v>266</v>
      </c>
      <c r="C850" s="46"/>
      <c r="D850" s="46"/>
      <c r="E850" s="337"/>
      <c r="F850" s="156"/>
    </row>
    <row r="851" spans="1:6" ht="15" hidden="1">
      <c r="A851" s="328" t="s">
        <v>35</v>
      </c>
      <c r="B851" s="26" t="s">
        <v>26</v>
      </c>
      <c r="C851" s="44" t="s">
        <v>33</v>
      </c>
      <c r="D851" s="26"/>
      <c r="E851" s="334"/>
      <c r="F851" s="156"/>
    </row>
    <row r="852" spans="1:6" ht="15" hidden="1">
      <c r="A852" s="328" t="s">
        <v>36</v>
      </c>
      <c r="B852" s="26" t="s">
        <v>28</v>
      </c>
      <c r="C852" s="6" t="s">
        <v>33</v>
      </c>
      <c r="D852" s="26"/>
      <c r="E852" s="334"/>
      <c r="F852" s="156"/>
    </row>
    <row r="853" spans="1:6" ht="15" hidden="1">
      <c r="A853" s="328" t="s">
        <v>37</v>
      </c>
      <c r="B853" s="26" t="s">
        <v>30</v>
      </c>
      <c r="C853" s="48" t="s">
        <v>33</v>
      </c>
      <c r="D853" s="26"/>
      <c r="E853" s="335">
        <v>553.76</v>
      </c>
      <c r="F853" s="156"/>
    </row>
    <row r="854" spans="1:6" ht="15" hidden="1">
      <c r="A854" s="338" t="s">
        <v>34</v>
      </c>
      <c r="B854" s="50" t="s">
        <v>103</v>
      </c>
      <c r="C854" s="51"/>
      <c r="D854" s="51"/>
      <c r="E854" s="339"/>
      <c r="F854" s="156"/>
    </row>
    <row r="855" spans="1:6" ht="15" hidden="1">
      <c r="A855" s="340" t="s">
        <v>38</v>
      </c>
      <c r="B855" s="49" t="s">
        <v>26</v>
      </c>
      <c r="C855" s="44" t="s">
        <v>33</v>
      </c>
      <c r="D855" s="26"/>
      <c r="E855" s="334">
        <f>Lapas3!D726</f>
        <v>0</v>
      </c>
      <c r="F855" s="156"/>
    </row>
    <row r="856" spans="1:6" ht="15" hidden="1">
      <c r="A856" s="340" t="s">
        <v>39</v>
      </c>
      <c r="B856" s="26" t="s">
        <v>28</v>
      </c>
      <c r="C856" s="6" t="s">
        <v>33</v>
      </c>
      <c r="D856" s="26"/>
      <c r="E856" s="258"/>
      <c r="F856" s="156"/>
    </row>
    <row r="857" spans="1:5" ht="15" hidden="1">
      <c r="A857" s="23" t="s">
        <v>40</v>
      </c>
      <c r="B857" s="42" t="s">
        <v>30</v>
      </c>
      <c r="C857" s="48" t="s">
        <v>33</v>
      </c>
      <c r="D857" s="26"/>
      <c r="E857" s="335">
        <v>802.47</v>
      </c>
    </row>
    <row r="858" spans="1:5" ht="15" hidden="1">
      <c r="A858" s="341" t="s">
        <v>42</v>
      </c>
      <c r="B858" s="58" t="s">
        <v>43</v>
      </c>
      <c r="C858" s="59"/>
      <c r="D858" s="59"/>
      <c r="E858" s="342"/>
    </row>
    <row r="859" spans="1:5" ht="15" hidden="1">
      <c r="A859" s="257" t="s">
        <v>44</v>
      </c>
      <c r="B859" s="26" t="s">
        <v>104</v>
      </c>
      <c r="C859" s="26"/>
      <c r="D859" s="26"/>
      <c r="E859" s="343" t="s">
        <v>106</v>
      </c>
    </row>
    <row r="860" spans="1:5" ht="15" hidden="1">
      <c r="A860" s="257" t="s">
        <v>45</v>
      </c>
      <c r="B860" s="26" t="s">
        <v>105</v>
      </c>
      <c r="C860" s="13" t="s">
        <v>59</v>
      </c>
      <c r="D860" s="26"/>
      <c r="E860" s="258">
        <v>0</v>
      </c>
    </row>
    <row r="861" spans="1:5" ht="17.25" hidden="1">
      <c r="A861" s="344" t="s">
        <v>46</v>
      </c>
      <c r="B861" s="144" t="s">
        <v>172</v>
      </c>
      <c r="C861" s="148" t="s">
        <v>59</v>
      </c>
      <c r="D861" s="149" t="s">
        <v>181</v>
      </c>
      <c r="E861" s="352">
        <f>E862+E863</f>
        <v>20.963812981712756</v>
      </c>
    </row>
    <row r="862" spans="1:5" ht="18.75" hidden="1">
      <c r="A862" s="257" t="s">
        <v>48</v>
      </c>
      <c r="B862" s="26" t="s">
        <v>49</v>
      </c>
      <c r="C862" s="61" t="s">
        <v>59</v>
      </c>
      <c r="D862" s="130" t="s">
        <v>173</v>
      </c>
      <c r="E862" s="334">
        <f>E839</f>
        <v>4.57</v>
      </c>
    </row>
    <row r="863" spans="1:5" ht="33" hidden="1">
      <c r="A863" s="329" t="s">
        <v>50</v>
      </c>
      <c r="B863" s="39" t="s">
        <v>51</v>
      </c>
      <c r="C863" s="30" t="s">
        <v>59</v>
      </c>
      <c r="D863" s="62" t="s">
        <v>278</v>
      </c>
      <c r="E863" s="346">
        <f>E840</f>
        <v>16.393812981712756</v>
      </c>
    </row>
    <row r="864" spans="1:5" ht="15" hidden="1">
      <c r="A864" s="257" t="s">
        <v>52</v>
      </c>
      <c r="B864" s="63" t="s">
        <v>53</v>
      </c>
      <c r="C864" s="37"/>
      <c r="D864" s="37"/>
      <c r="E864" s="331"/>
    </row>
    <row r="865" spans="1:5" ht="15" hidden="1">
      <c r="A865" s="257" t="s">
        <v>54</v>
      </c>
      <c r="B865" s="26" t="s">
        <v>55</v>
      </c>
      <c r="C865" s="13" t="s">
        <v>56</v>
      </c>
      <c r="D865" s="26"/>
      <c r="E865" s="258">
        <v>33.34</v>
      </c>
    </row>
    <row r="866" spans="1:5" ht="15" hidden="1">
      <c r="A866" s="257" t="s">
        <v>57</v>
      </c>
      <c r="B866" s="26" t="s">
        <v>58</v>
      </c>
      <c r="C866" s="13" t="s">
        <v>59</v>
      </c>
      <c r="D866" s="64" t="s">
        <v>47</v>
      </c>
      <c r="E866" s="334">
        <f>E863</f>
        <v>16.393812981712756</v>
      </c>
    </row>
    <row r="867" spans="1:5" ht="15" hidden="1">
      <c r="A867" s="324" t="s">
        <v>60</v>
      </c>
      <c r="B867" s="459" t="s">
        <v>61</v>
      </c>
      <c r="C867" s="460"/>
      <c r="D867" s="460"/>
      <c r="E867" s="461"/>
    </row>
    <row r="868" spans="1:5" ht="17.25" hidden="1">
      <c r="A868" s="14" t="s">
        <v>62</v>
      </c>
      <c r="B868" s="18" t="s">
        <v>182</v>
      </c>
      <c r="C868" s="11" t="s">
        <v>59</v>
      </c>
      <c r="D868" s="149" t="s">
        <v>180</v>
      </c>
      <c r="E868" s="327">
        <f>E869+E870</f>
        <v>6.886649095414903</v>
      </c>
    </row>
    <row r="869" spans="1:5" ht="18.75" hidden="1">
      <c r="A869" s="15" t="s">
        <v>63</v>
      </c>
      <c r="B869" s="16" t="s">
        <v>64</v>
      </c>
      <c r="C869" s="13" t="s">
        <v>59</v>
      </c>
      <c r="D869" s="130" t="s">
        <v>174</v>
      </c>
      <c r="E869" s="258">
        <v>2.44</v>
      </c>
    </row>
    <row r="870" spans="1:5" ht="18.75" hidden="1">
      <c r="A870" s="15" t="s">
        <v>65</v>
      </c>
      <c r="B870" s="17" t="s">
        <v>66</v>
      </c>
      <c r="C870" s="22"/>
      <c r="D870" s="361" t="s">
        <v>279</v>
      </c>
      <c r="E870" s="334">
        <f>0.41+(7.24*E838/37.6)</f>
        <v>4.446649095414903</v>
      </c>
    </row>
    <row r="871" spans="1:5" ht="15" hidden="1">
      <c r="A871" s="14" t="s">
        <v>67</v>
      </c>
      <c r="B871" s="18" t="s">
        <v>68</v>
      </c>
      <c r="C871" s="11"/>
      <c r="D871" s="26"/>
      <c r="E871" s="258"/>
    </row>
    <row r="872" spans="1:5" ht="15" hidden="1">
      <c r="A872" s="14" t="s">
        <v>69</v>
      </c>
      <c r="B872" s="19" t="s">
        <v>55</v>
      </c>
      <c r="C872" s="12" t="s">
        <v>56</v>
      </c>
      <c r="D872" s="26"/>
      <c r="E872" s="334">
        <v>16.1</v>
      </c>
    </row>
    <row r="873" spans="1:5" ht="18.75" hidden="1">
      <c r="A873" s="14" t="s">
        <v>70</v>
      </c>
      <c r="B873" s="19" t="s">
        <v>71</v>
      </c>
      <c r="C873" s="13" t="s">
        <v>59</v>
      </c>
      <c r="D873" s="130" t="s">
        <v>176</v>
      </c>
      <c r="E873" s="334">
        <f>E870</f>
        <v>4.446649095414903</v>
      </c>
    </row>
    <row r="874" spans="1:5" ht="15" hidden="1">
      <c r="A874" s="347" t="s">
        <v>72</v>
      </c>
      <c r="B874" s="454" t="s">
        <v>73</v>
      </c>
      <c r="C874" s="455"/>
      <c r="D874" s="455"/>
      <c r="E874" s="456"/>
    </row>
    <row r="875" spans="1:5" ht="15" hidden="1">
      <c r="A875" s="457" t="s">
        <v>79</v>
      </c>
      <c r="B875" s="20" t="s">
        <v>74</v>
      </c>
      <c r="C875" s="13" t="s">
        <v>59</v>
      </c>
      <c r="D875" s="132" t="s">
        <v>106</v>
      </c>
      <c r="E875" s="264">
        <v>0.31</v>
      </c>
    </row>
    <row r="876" spans="1:5" ht="15" hidden="1">
      <c r="A876" s="458"/>
      <c r="B876" s="21" t="s">
        <v>75</v>
      </c>
      <c r="C876" s="61" t="s">
        <v>76</v>
      </c>
      <c r="D876" s="132" t="s">
        <v>106</v>
      </c>
      <c r="E876" s="264">
        <v>2.34</v>
      </c>
    </row>
    <row r="877" spans="1:5" ht="15.75" hidden="1" thickBot="1">
      <c r="A877" s="458"/>
      <c r="B877" s="21" t="s">
        <v>77</v>
      </c>
      <c r="C877" s="131" t="s">
        <v>78</v>
      </c>
      <c r="D877" s="132" t="s">
        <v>106</v>
      </c>
      <c r="E877" s="264">
        <v>46.34</v>
      </c>
    </row>
    <row r="878" spans="1:5" ht="15" hidden="1">
      <c r="A878" s="347" t="s">
        <v>80</v>
      </c>
      <c r="B878" s="135" t="s">
        <v>81</v>
      </c>
      <c r="C878" s="13" t="s">
        <v>59</v>
      </c>
      <c r="D878" s="70"/>
      <c r="E878" s="264">
        <v>-0.07</v>
      </c>
    </row>
    <row r="879" spans="1:5" ht="15" hidden="1">
      <c r="A879" s="347" t="s">
        <v>82</v>
      </c>
      <c r="B879" s="135" t="s">
        <v>83</v>
      </c>
      <c r="C879" s="13" t="s">
        <v>59</v>
      </c>
      <c r="D879" s="70"/>
      <c r="E879" s="264">
        <v>-0.14</v>
      </c>
    </row>
    <row r="880" spans="1:5" ht="15" hidden="1">
      <c r="A880" s="347" t="s">
        <v>84</v>
      </c>
      <c r="B880" s="135" t="s">
        <v>267</v>
      </c>
      <c r="C880" s="13" t="s">
        <v>59</v>
      </c>
      <c r="D880" s="70"/>
      <c r="E880" s="272">
        <f>E861+E868+E875+E878+E879</f>
        <v>27.950462077127657</v>
      </c>
    </row>
    <row r="881" spans="1:5" ht="15" hidden="1">
      <c r="A881" s="347" t="s">
        <v>85</v>
      </c>
      <c r="B881" s="135" t="s">
        <v>86</v>
      </c>
      <c r="C881" s="13" t="s">
        <v>59</v>
      </c>
      <c r="D881" s="70"/>
      <c r="E881" s="264">
        <v>0</v>
      </c>
    </row>
    <row r="882" spans="1:5" ht="15" hidden="1">
      <c r="A882" s="347" t="s">
        <v>87</v>
      </c>
      <c r="B882" s="135" t="s">
        <v>88</v>
      </c>
      <c r="C882" s="11" t="s">
        <v>59</v>
      </c>
      <c r="D882" s="137"/>
      <c r="E882" s="272">
        <f>E880</f>
        <v>27.950462077127657</v>
      </c>
    </row>
    <row r="883" spans="1:5" ht="15" hidden="1">
      <c r="A883" s="347" t="s">
        <v>89</v>
      </c>
      <c r="B883" s="135" t="s">
        <v>90</v>
      </c>
      <c r="C883" s="11" t="s">
        <v>59</v>
      </c>
      <c r="D883" s="137"/>
      <c r="E883" s="273">
        <f>E882*1.09</f>
        <v>30.46600366406915</v>
      </c>
    </row>
    <row r="884" spans="1:5" ht="15" hidden="1">
      <c r="A884" s="347" t="s">
        <v>91</v>
      </c>
      <c r="B884" s="135" t="s">
        <v>92</v>
      </c>
      <c r="C884" s="11" t="s">
        <v>59</v>
      </c>
      <c r="D884" s="137"/>
      <c r="E884" s="273">
        <f>E791</f>
        <v>27.86</v>
      </c>
    </row>
    <row r="885" spans="1:5" ht="15" hidden="1">
      <c r="A885" s="347" t="s">
        <v>93</v>
      </c>
      <c r="B885" s="135" t="s">
        <v>94</v>
      </c>
      <c r="C885" s="134" t="s">
        <v>95</v>
      </c>
      <c r="D885" s="137"/>
      <c r="E885" s="273">
        <f>(E880/E884)*100-100</f>
        <v>0.32470235867788233</v>
      </c>
    </row>
    <row r="886" spans="1:5" ht="15" hidden="1">
      <c r="A886" s="347" t="s">
        <v>96</v>
      </c>
      <c r="B886" s="136" t="s">
        <v>97</v>
      </c>
      <c r="C886" s="138" t="s">
        <v>98</v>
      </c>
      <c r="D886" s="139"/>
      <c r="E886" s="348">
        <v>4.73</v>
      </c>
    </row>
    <row r="887" spans="1:5" ht="15" hidden="1">
      <c r="A887" s="347" t="s">
        <v>99</v>
      </c>
      <c r="B887" s="136" t="s">
        <v>100</v>
      </c>
      <c r="C887" s="133" t="s">
        <v>98</v>
      </c>
      <c r="D887" s="70"/>
      <c r="E887" s="348">
        <v>4.14</v>
      </c>
    </row>
    <row r="888" spans="1:5" ht="15.75" hidden="1" thickBot="1">
      <c r="A888" s="24" t="s">
        <v>101</v>
      </c>
      <c r="B888" s="25" t="s">
        <v>102</v>
      </c>
      <c r="C888" s="349" t="s">
        <v>98</v>
      </c>
      <c r="D888" s="350"/>
      <c r="E888" s="351">
        <v>0</v>
      </c>
    </row>
    <row r="889" ht="15" hidden="1"/>
    <row r="890" ht="15" hidden="1"/>
    <row r="891" ht="15" hidden="1"/>
    <row r="892" ht="15" hidden="1">
      <c r="B892" s="323"/>
    </row>
    <row r="893" spans="1:5" ht="15" hidden="1">
      <c r="A893" s="315"/>
      <c r="B893" s="315"/>
      <c r="C893" s="315"/>
      <c r="D893" s="315"/>
      <c r="E893" s="315"/>
    </row>
    <row r="894" spans="1:5" ht="15" hidden="1">
      <c r="A894" s="315"/>
      <c r="B894" s="315"/>
      <c r="C894" s="315"/>
      <c r="D894" s="315"/>
      <c r="E894" s="315"/>
    </row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spans="2:4" ht="15" hidden="1">
      <c r="B906" t="s">
        <v>189</v>
      </c>
      <c r="C906" t="s">
        <v>193</v>
      </c>
      <c r="D906" s="155" t="s">
        <v>190</v>
      </c>
    </row>
    <row r="907" ht="15" hidden="1">
      <c r="C907" s="162" t="s">
        <v>194</v>
      </c>
    </row>
    <row r="908" ht="15" hidden="1"/>
    <row r="909" ht="15" hidden="1"/>
    <row r="910" ht="15" hidden="1"/>
    <row r="911" spans="1:5" ht="15" hidden="1">
      <c r="A911" s="140" t="s">
        <v>0</v>
      </c>
      <c r="B911" s="140"/>
      <c r="C911" s="140"/>
      <c r="D911" s="140"/>
      <c r="E911" s="140" t="s">
        <v>107</v>
      </c>
    </row>
    <row r="912" spans="1:5" ht="15" hidden="1">
      <c r="A912" s="140" t="s">
        <v>1</v>
      </c>
      <c r="B912" s="140"/>
      <c r="C912" s="140"/>
      <c r="D912" s="140" t="s">
        <v>178</v>
      </c>
      <c r="E912" s="3"/>
    </row>
    <row r="913" spans="1:5" ht="15" hidden="1">
      <c r="A913" s="140" t="s">
        <v>2</v>
      </c>
      <c r="B913" s="140"/>
      <c r="C913" s="140"/>
      <c r="D913" s="140" t="s">
        <v>167</v>
      </c>
      <c r="E913" s="5"/>
    </row>
    <row r="914" spans="1:5" ht="15" hidden="1">
      <c r="A914" s="140" t="s">
        <v>3</v>
      </c>
      <c r="B914" s="140"/>
      <c r="C914" s="140"/>
      <c r="D914" s="140" t="s">
        <v>168</v>
      </c>
      <c r="E914" s="3"/>
    </row>
    <row r="915" spans="1:5" ht="15" hidden="1">
      <c r="A915" s="140" t="s">
        <v>4</v>
      </c>
      <c r="B915" s="140"/>
      <c r="C915" s="140"/>
      <c r="D915" s="140" t="s">
        <v>169</v>
      </c>
      <c r="E915" s="3"/>
    </row>
    <row r="916" spans="1:5" ht="15" hidden="1">
      <c r="A916" s="161" t="s">
        <v>192</v>
      </c>
      <c r="B916" s="140"/>
      <c r="C916" s="140"/>
      <c r="D916" s="140"/>
      <c r="E916" s="3"/>
    </row>
    <row r="917" spans="1:5" ht="15" hidden="1">
      <c r="A917" s="140" t="s">
        <v>5</v>
      </c>
      <c r="B917" s="140"/>
      <c r="C917" s="140"/>
      <c r="D917" s="140" t="s">
        <v>170</v>
      </c>
      <c r="E917" s="3"/>
    </row>
    <row r="918" spans="1:5" ht="15" hidden="1">
      <c r="A918" s="1"/>
      <c r="B918" s="1"/>
      <c r="C918" s="1"/>
      <c r="D918" s="1"/>
      <c r="E918" s="1"/>
    </row>
    <row r="919" spans="1:4" ht="15.75" hidden="1">
      <c r="A919" s="150"/>
      <c r="B919" s="150" t="s">
        <v>282</v>
      </c>
      <c r="C919" s="2"/>
      <c r="D919" s="2"/>
    </row>
    <row r="920" spans="1:4" ht="15.75" hidden="1">
      <c r="A920" s="150"/>
      <c r="B920" s="150"/>
      <c r="C920" s="159">
        <v>41779</v>
      </c>
      <c r="D920" s="2"/>
    </row>
    <row r="921" spans="1:4" ht="15.75" hidden="1">
      <c r="A921" s="150"/>
      <c r="B921" s="150"/>
      <c r="C921" s="160" t="s">
        <v>191</v>
      </c>
      <c r="D921" s="2"/>
    </row>
    <row r="922" spans="1:5" ht="15" hidden="1">
      <c r="A922" s="2" t="s">
        <v>6</v>
      </c>
      <c r="B922" s="2"/>
      <c r="C922" s="2"/>
      <c r="D922" s="2"/>
      <c r="E922" s="2"/>
    </row>
    <row r="923" spans="1:5" ht="15" hidden="1">
      <c r="A923" s="1" t="s">
        <v>260</v>
      </c>
      <c r="B923" s="1"/>
      <c r="C923" s="1"/>
      <c r="D923" s="1"/>
      <c r="E923" s="1"/>
    </row>
    <row r="924" spans="1:5" ht="15" hidden="1">
      <c r="A924" s="1" t="s">
        <v>7</v>
      </c>
      <c r="B924" s="1"/>
      <c r="C924" s="1"/>
      <c r="D924" s="1"/>
      <c r="E924" s="1"/>
    </row>
    <row r="925" spans="1:5" ht="15.75" hidden="1" thickBot="1">
      <c r="A925" s="359" t="s">
        <v>281</v>
      </c>
      <c r="B925" s="359"/>
      <c r="C925" s="359"/>
      <c r="D925" s="359"/>
      <c r="E925" s="360"/>
    </row>
    <row r="926" spans="1:5" ht="15" hidden="1">
      <c r="A926" s="253" t="s">
        <v>8</v>
      </c>
      <c r="B926" s="254" t="s">
        <v>9</v>
      </c>
      <c r="C926" s="254" t="s">
        <v>10</v>
      </c>
      <c r="D926" s="254" t="s">
        <v>11</v>
      </c>
      <c r="E926" s="256" t="s">
        <v>12</v>
      </c>
    </row>
    <row r="927" spans="1:5" ht="15" hidden="1">
      <c r="A927" s="257">
        <v>1</v>
      </c>
      <c r="B927" s="26">
        <v>2</v>
      </c>
      <c r="C927" s="26">
        <v>3</v>
      </c>
      <c r="D927" s="26">
        <v>4</v>
      </c>
      <c r="E927" s="258">
        <v>5</v>
      </c>
    </row>
    <row r="928" spans="1:5" ht="15" hidden="1">
      <c r="A928" s="324" t="s">
        <v>13</v>
      </c>
      <c r="B928" s="28" t="s">
        <v>14</v>
      </c>
      <c r="C928" s="28"/>
      <c r="D928" s="28"/>
      <c r="E928" s="325"/>
    </row>
    <row r="929" spans="1:5" ht="17.25" hidden="1">
      <c r="A929" s="324" t="s">
        <v>15</v>
      </c>
      <c r="B929" s="141" t="s">
        <v>183</v>
      </c>
      <c r="C929" s="11" t="s">
        <v>59</v>
      </c>
      <c r="D929" s="326" t="s">
        <v>179</v>
      </c>
      <c r="E929" s="327">
        <f>E930+E931</f>
        <v>20.813790211864408</v>
      </c>
    </row>
    <row r="930" spans="1:5" ht="18.75" hidden="1">
      <c r="A930" s="328" t="s">
        <v>16</v>
      </c>
      <c r="B930" s="26" t="s">
        <v>18</v>
      </c>
      <c r="C930" s="13" t="s">
        <v>59</v>
      </c>
      <c r="D930" s="130" t="s">
        <v>171</v>
      </c>
      <c r="E930" s="4">
        <v>4.57</v>
      </c>
    </row>
    <row r="931" spans="1:5" ht="33" hidden="1">
      <c r="A931" s="329" t="s">
        <v>17</v>
      </c>
      <c r="B931" s="158" t="s">
        <v>19</v>
      </c>
      <c r="C931" s="30" t="s">
        <v>59</v>
      </c>
      <c r="D931" s="31" t="s">
        <v>278</v>
      </c>
      <c r="E931" s="330">
        <f>0.29+((4325*E936+226*E944+106.1*E940+509*E948)/(44.84*1000))/10</f>
        <v>16.243790211864408</v>
      </c>
    </row>
    <row r="932" spans="1:5" ht="15" hidden="1">
      <c r="A932" s="328" t="s">
        <v>21</v>
      </c>
      <c r="B932" s="33" t="s">
        <v>22</v>
      </c>
      <c r="C932" s="34"/>
      <c r="D932" s="37"/>
      <c r="E932" s="331"/>
    </row>
    <row r="933" spans="1:5" ht="15" hidden="1">
      <c r="A933" s="332" t="s">
        <v>23</v>
      </c>
      <c r="B933" s="54" t="s">
        <v>24</v>
      </c>
      <c r="C933" s="55"/>
      <c r="D933" s="55"/>
      <c r="E933" s="333"/>
    </row>
    <row r="934" spans="1:5" ht="15" hidden="1">
      <c r="A934" s="328" t="s">
        <v>25</v>
      </c>
      <c r="B934" s="26" t="s">
        <v>26</v>
      </c>
      <c r="C934" s="36" t="s">
        <v>41</v>
      </c>
      <c r="D934" s="26"/>
      <c r="E934" s="334">
        <v>1215.04</v>
      </c>
    </row>
    <row r="935" spans="1:5" ht="15" hidden="1">
      <c r="A935" s="328" t="s">
        <v>27</v>
      </c>
      <c r="B935" s="26" t="s">
        <v>28</v>
      </c>
      <c r="C935" s="7" t="s">
        <v>41</v>
      </c>
      <c r="D935" s="26"/>
      <c r="E935" s="258">
        <v>313.23</v>
      </c>
    </row>
    <row r="936" spans="1:6" ht="15" hidden="1">
      <c r="A936" s="328" t="s">
        <v>29</v>
      </c>
      <c r="B936" s="42" t="s">
        <v>30</v>
      </c>
      <c r="C936" s="43" t="s">
        <v>41</v>
      </c>
      <c r="D936" s="26"/>
      <c r="E936" s="335">
        <f>E934+E935</f>
        <v>1528.27</v>
      </c>
      <c r="F936" s="156">
        <f>E936*4325</f>
        <v>6609767.75</v>
      </c>
    </row>
    <row r="937" spans="1:6" ht="15" hidden="1">
      <c r="A937" s="336" t="s">
        <v>31</v>
      </c>
      <c r="B937" s="45" t="s">
        <v>265</v>
      </c>
      <c r="C937" s="46"/>
      <c r="D937" s="46"/>
      <c r="E937" s="337"/>
      <c r="F937" s="156">
        <f>E940*106.1</f>
        <v>61634.55099999999</v>
      </c>
    </row>
    <row r="938" spans="1:6" ht="15" hidden="1">
      <c r="A938" s="328" t="s">
        <v>35</v>
      </c>
      <c r="B938" s="26" t="s">
        <v>26</v>
      </c>
      <c r="C938" s="44" t="s">
        <v>33</v>
      </c>
      <c r="D938" s="26"/>
      <c r="E938" s="334"/>
      <c r="F938" s="156">
        <f>E944*226</f>
        <v>83674.24</v>
      </c>
    </row>
    <row r="939" spans="1:6" ht="15" hidden="1">
      <c r="A939" s="328" t="s">
        <v>36</v>
      </c>
      <c r="B939" s="26" t="s">
        <v>28</v>
      </c>
      <c r="C939" s="6" t="s">
        <v>33</v>
      </c>
      <c r="D939" s="26"/>
      <c r="E939" s="334"/>
      <c r="F939" s="156">
        <f>E948*509</f>
        <v>398602.99</v>
      </c>
    </row>
    <row r="940" spans="1:6" ht="15" hidden="1">
      <c r="A940" s="328" t="s">
        <v>37</v>
      </c>
      <c r="B940" s="26" t="s">
        <v>30</v>
      </c>
      <c r="C940" s="48" t="s">
        <v>33</v>
      </c>
      <c r="D940" s="26"/>
      <c r="E940" s="335">
        <v>580.91</v>
      </c>
      <c r="F940" s="156"/>
    </row>
    <row r="941" spans="1:6" ht="15" hidden="1">
      <c r="A941" s="336" t="s">
        <v>31</v>
      </c>
      <c r="B941" s="45" t="s">
        <v>266</v>
      </c>
      <c r="C941" s="46"/>
      <c r="D941" s="46"/>
      <c r="E941" s="337"/>
      <c r="F941" s="156"/>
    </row>
    <row r="942" spans="1:6" ht="15" hidden="1">
      <c r="A942" s="328" t="s">
        <v>35</v>
      </c>
      <c r="B942" s="26" t="s">
        <v>26</v>
      </c>
      <c r="C942" s="44" t="s">
        <v>33</v>
      </c>
      <c r="D942" s="26"/>
      <c r="E942" s="334"/>
      <c r="F942" s="156"/>
    </row>
    <row r="943" spans="1:6" ht="15" hidden="1">
      <c r="A943" s="328" t="s">
        <v>36</v>
      </c>
      <c r="B943" s="26" t="s">
        <v>28</v>
      </c>
      <c r="C943" s="6" t="s">
        <v>33</v>
      </c>
      <c r="D943" s="26"/>
      <c r="E943" s="334"/>
      <c r="F943" s="156"/>
    </row>
    <row r="944" spans="1:6" ht="15" hidden="1">
      <c r="A944" s="328" t="s">
        <v>37</v>
      </c>
      <c r="B944" s="26" t="s">
        <v>30</v>
      </c>
      <c r="C944" s="48" t="s">
        <v>33</v>
      </c>
      <c r="D944" s="26"/>
      <c r="E944" s="335">
        <v>370.24</v>
      </c>
      <c r="F944" s="156"/>
    </row>
    <row r="945" spans="1:6" ht="15" hidden="1">
      <c r="A945" s="338" t="s">
        <v>34</v>
      </c>
      <c r="B945" s="50" t="s">
        <v>103</v>
      </c>
      <c r="C945" s="51"/>
      <c r="D945" s="51"/>
      <c r="E945" s="339"/>
      <c r="F945" s="156"/>
    </row>
    <row r="946" spans="1:6" ht="15" hidden="1">
      <c r="A946" s="340" t="s">
        <v>38</v>
      </c>
      <c r="B946" s="49" t="s">
        <v>26</v>
      </c>
      <c r="C946" s="44" t="s">
        <v>33</v>
      </c>
      <c r="D946" s="26"/>
      <c r="E946" s="334">
        <f>Lapas3!D817</f>
        <v>0</v>
      </c>
      <c r="F946" s="156"/>
    </row>
    <row r="947" spans="1:6" ht="15" hidden="1">
      <c r="A947" s="340" t="s">
        <v>39</v>
      </c>
      <c r="B947" s="26" t="s">
        <v>28</v>
      </c>
      <c r="C947" s="6" t="s">
        <v>33</v>
      </c>
      <c r="D947" s="26"/>
      <c r="E947" s="258"/>
      <c r="F947" s="156"/>
    </row>
    <row r="948" spans="1:5" ht="15" hidden="1">
      <c r="A948" s="23" t="s">
        <v>40</v>
      </c>
      <c r="B948" s="42" t="s">
        <v>30</v>
      </c>
      <c r="C948" s="48" t="s">
        <v>33</v>
      </c>
      <c r="D948" s="26"/>
      <c r="E948" s="335">
        <v>783.11</v>
      </c>
    </row>
    <row r="949" spans="1:5" ht="15" hidden="1">
      <c r="A949" s="341" t="s">
        <v>42</v>
      </c>
      <c r="B949" s="58" t="s">
        <v>43</v>
      </c>
      <c r="C949" s="59"/>
      <c r="D949" s="59"/>
      <c r="E949" s="342"/>
    </row>
    <row r="950" spans="1:5" ht="15" hidden="1">
      <c r="A950" s="257" t="s">
        <v>44</v>
      </c>
      <c r="B950" s="26" t="s">
        <v>104</v>
      </c>
      <c r="C950" s="26"/>
      <c r="D950" s="26"/>
      <c r="E950" s="343" t="s">
        <v>106</v>
      </c>
    </row>
    <row r="951" spans="1:5" ht="15" hidden="1">
      <c r="A951" s="257" t="s">
        <v>45</v>
      </c>
      <c r="B951" s="26" t="s">
        <v>105</v>
      </c>
      <c r="C951" s="13" t="s">
        <v>59</v>
      </c>
      <c r="D951" s="26"/>
      <c r="E951" s="258">
        <v>0</v>
      </c>
    </row>
    <row r="952" spans="1:5" ht="17.25" hidden="1">
      <c r="A952" s="344" t="s">
        <v>46</v>
      </c>
      <c r="B952" s="144" t="s">
        <v>172</v>
      </c>
      <c r="C952" s="148" t="s">
        <v>59</v>
      </c>
      <c r="D952" s="149" t="s">
        <v>181</v>
      </c>
      <c r="E952" s="352">
        <f>E953+E954</f>
        <v>20.813790211864408</v>
      </c>
    </row>
    <row r="953" spans="1:5" ht="18.75" hidden="1">
      <c r="A953" s="257" t="s">
        <v>48</v>
      </c>
      <c r="B953" s="26" t="s">
        <v>49</v>
      </c>
      <c r="C953" s="61" t="s">
        <v>59</v>
      </c>
      <c r="D953" s="130" t="s">
        <v>173</v>
      </c>
      <c r="E953" s="334">
        <f>E930</f>
        <v>4.57</v>
      </c>
    </row>
    <row r="954" spans="1:5" ht="33" hidden="1">
      <c r="A954" s="329" t="s">
        <v>50</v>
      </c>
      <c r="B954" s="39" t="s">
        <v>51</v>
      </c>
      <c r="C954" s="30" t="s">
        <v>59</v>
      </c>
      <c r="D954" s="62" t="s">
        <v>278</v>
      </c>
      <c r="E954" s="346">
        <f>E931</f>
        <v>16.243790211864408</v>
      </c>
    </row>
    <row r="955" spans="1:5" ht="15" hidden="1">
      <c r="A955" s="257" t="s">
        <v>52</v>
      </c>
      <c r="B955" s="63" t="s">
        <v>53</v>
      </c>
      <c r="C955" s="37"/>
      <c r="D955" s="37"/>
      <c r="E955" s="331"/>
    </row>
    <row r="956" spans="1:5" ht="15" hidden="1">
      <c r="A956" s="257" t="s">
        <v>54</v>
      </c>
      <c r="B956" s="26" t="s">
        <v>55</v>
      </c>
      <c r="C956" s="13" t="s">
        <v>56</v>
      </c>
      <c r="D956" s="26"/>
      <c r="E956" s="258">
        <v>33.34</v>
      </c>
    </row>
    <row r="957" spans="1:5" ht="15" hidden="1">
      <c r="A957" s="257" t="s">
        <v>57</v>
      </c>
      <c r="B957" s="26" t="s">
        <v>58</v>
      </c>
      <c r="C957" s="13" t="s">
        <v>59</v>
      </c>
      <c r="D957" s="64" t="s">
        <v>47</v>
      </c>
      <c r="E957" s="334">
        <f>E954</f>
        <v>16.243790211864408</v>
      </c>
    </row>
    <row r="958" spans="1:5" ht="15" hidden="1">
      <c r="A958" s="324" t="s">
        <v>60</v>
      </c>
      <c r="B958" s="459" t="s">
        <v>61</v>
      </c>
      <c r="C958" s="460"/>
      <c r="D958" s="460"/>
      <c r="E958" s="461"/>
    </row>
    <row r="959" spans="1:5" ht="17.25" hidden="1">
      <c r="A959" s="14" t="s">
        <v>62</v>
      </c>
      <c r="B959" s="18" t="s">
        <v>182</v>
      </c>
      <c r="C959" s="11" t="s">
        <v>59</v>
      </c>
      <c r="D959" s="149" t="s">
        <v>180</v>
      </c>
      <c r="E959" s="327">
        <f>E960+E961</f>
        <v>6.85776173228453</v>
      </c>
    </row>
    <row r="960" spans="1:5" ht="18.75" hidden="1">
      <c r="A960" s="15" t="s">
        <v>63</v>
      </c>
      <c r="B960" s="16" t="s">
        <v>64</v>
      </c>
      <c r="C960" s="13" t="s">
        <v>59</v>
      </c>
      <c r="D960" s="130" t="s">
        <v>174</v>
      </c>
      <c r="E960" s="258">
        <v>2.44</v>
      </c>
    </row>
    <row r="961" spans="1:5" ht="18.75" hidden="1">
      <c r="A961" s="15" t="s">
        <v>65</v>
      </c>
      <c r="B961" s="17" t="s">
        <v>66</v>
      </c>
      <c r="C961" s="22"/>
      <c r="D961" s="361" t="s">
        <v>279</v>
      </c>
      <c r="E961" s="334">
        <f>0.41+(7.24*E929/37.6)</f>
        <v>4.4177617322845295</v>
      </c>
    </row>
    <row r="962" spans="1:5" ht="15" hidden="1">
      <c r="A962" s="14" t="s">
        <v>67</v>
      </c>
      <c r="B962" s="18" t="s">
        <v>68</v>
      </c>
      <c r="C962" s="11"/>
      <c r="D962" s="26"/>
      <c r="E962" s="258"/>
    </row>
    <row r="963" spans="1:5" ht="15" hidden="1">
      <c r="A963" s="14" t="s">
        <v>69</v>
      </c>
      <c r="B963" s="19" t="s">
        <v>55</v>
      </c>
      <c r="C963" s="12" t="s">
        <v>56</v>
      </c>
      <c r="D963" s="26"/>
      <c r="E963" s="334">
        <v>16.1</v>
      </c>
    </row>
    <row r="964" spans="1:5" ht="18.75" hidden="1">
      <c r="A964" s="14" t="s">
        <v>70</v>
      </c>
      <c r="B964" s="19" t="s">
        <v>71</v>
      </c>
      <c r="C964" s="13" t="s">
        <v>59</v>
      </c>
      <c r="D964" s="130" t="s">
        <v>176</v>
      </c>
      <c r="E964" s="334">
        <f>E961</f>
        <v>4.4177617322845295</v>
      </c>
    </row>
    <row r="965" spans="1:5" ht="15" hidden="1">
      <c r="A965" s="347" t="s">
        <v>72</v>
      </c>
      <c r="B965" s="454" t="s">
        <v>73</v>
      </c>
      <c r="C965" s="455"/>
      <c r="D965" s="455"/>
      <c r="E965" s="456"/>
    </row>
    <row r="966" spans="1:5" ht="15" hidden="1">
      <c r="A966" s="457" t="s">
        <v>79</v>
      </c>
      <c r="B966" s="20" t="s">
        <v>74</v>
      </c>
      <c r="C966" s="13" t="s">
        <v>59</v>
      </c>
      <c r="D966" s="132" t="s">
        <v>106</v>
      </c>
      <c r="E966" s="264">
        <v>0.31</v>
      </c>
    </row>
    <row r="967" spans="1:5" ht="15" hidden="1">
      <c r="A967" s="458"/>
      <c r="B967" s="21" t="s">
        <v>75</v>
      </c>
      <c r="C967" s="61" t="s">
        <v>76</v>
      </c>
      <c r="D967" s="132" t="s">
        <v>106</v>
      </c>
      <c r="E967" s="264">
        <v>2.34</v>
      </c>
    </row>
    <row r="968" spans="1:5" ht="15.75" hidden="1" thickBot="1">
      <c r="A968" s="458"/>
      <c r="B968" s="21" t="s">
        <v>77</v>
      </c>
      <c r="C968" s="131" t="s">
        <v>78</v>
      </c>
      <c r="D968" s="132" t="s">
        <v>106</v>
      </c>
      <c r="E968" s="264">
        <v>46.34</v>
      </c>
    </row>
    <row r="969" spans="1:5" ht="15" hidden="1">
      <c r="A969" s="347" t="s">
        <v>80</v>
      </c>
      <c r="B969" s="135" t="s">
        <v>81</v>
      </c>
      <c r="C969" s="13" t="s">
        <v>59</v>
      </c>
      <c r="D969" s="70"/>
      <c r="E969" s="264">
        <v>-0.07</v>
      </c>
    </row>
    <row r="970" spans="1:5" ht="15" hidden="1">
      <c r="A970" s="347" t="s">
        <v>82</v>
      </c>
      <c r="B970" s="135" t="s">
        <v>83</v>
      </c>
      <c r="C970" s="13" t="s">
        <v>59</v>
      </c>
      <c r="D970" s="70"/>
      <c r="E970" s="264">
        <v>-0.14</v>
      </c>
    </row>
    <row r="971" spans="1:5" ht="15" hidden="1">
      <c r="A971" s="347" t="s">
        <v>84</v>
      </c>
      <c r="B971" s="135" t="s">
        <v>267</v>
      </c>
      <c r="C971" s="13" t="s">
        <v>59</v>
      </c>
      <c r="D971" s="70"/>
      <c r="E971" s="272">
        <f>E952+E959+E966+E969+E970</f>
        <v>27.771551944148936</v>
      </c>
    </row>
    <row r="972" spans="1:5" ht="15" hidden="1">
      <c r="A972" s="347" t="s">
        <v>85</v>
      </c>
      <c r="B972" s="135" t="s">
        <v>86</v>
      </c>
      <c r="C972" s="13" t="s">
        <v>59</v>
      </c>
      <c r="D972" s="70"/>
      <c r="E972" s="264">
        <v>0</v>
      </c>
    </row>
    <row r="973" spans="1:5" ht="15" hidden="1">
      <c r="A973" s="347" t="s">
        <v>87</v>
      </c>
      <c r="B973" s="135" t="s">
        <v>88</v>
      </c>
      <c r="C973" s="11" t="s">
        <v>59</v>
      </c>
      <c r="D973" s="137"/>
      <c r="E973" s="272">
        <f>E971</f>
        <v>27.771551944148936</v>
      </c>
    </row>
    <row r="974" spans="1:5" ht="15" hidden="1">
      <c r="A974" s="347" t="s">
        <v>89</v>
      </c>
      <c r="B974" s="135" t="s">
        <v>90</v>
      </c>
      <c r="C974" s="11" t="s">
        <v>59</v>
      </c>
      <c r="D974" s="137"/>
      <c r="E974" s="273">
        <f>E973*1.09</f>
        <v>30.27099161912234</v>
      </c>
    </row>
    <row r="975" spans="1:5" ht="15" hidden="1">
      <c r="A975" s="347" t="s">
        <v>91</v>
      </c>
      <c r="B975" s="135" t="s">
        <v>92</v>
      </c>
      <c r="C975" s="11" t="s">
        <v>59</v>
      </c>
      <c r="D975" s="137"/>
      <c r="E975" s="273">
        <f>E882</f>
        <v>27.950462077127657</v>
      </c>
    </row>
    <row r="976" spans="1:5" ht="15" hidden="1">
      <c r="A976" s="347" t="s">
        <v>93</v>
      </c>
      <c r="B976" s="135" t="s">
        <v>94</v>
      </c>
      <c r="C976" s="134" t="s">
        <v>95</v>
      </c>
      <c r="D976" s="137"/>
      <c r="E976" s="273">
        <f>(E971/E975)*100-100</f>
        <v>-0.6400972280352022</v>
      </c>
    </row>
    <row r="977" spans="1:5" ht="15" hidden="1">
      <c r="A977" s="347" t="s">
        <v>96</v>
      </c>
      <c r="B977" s="136" t="s">
        <v>97</v>
      </c>
      <c r="C977" s="138" t="s">
        <v>98</v>
      </c>
      <c r="D977" s="139"/>
      <c r="E977" s="348">
        <v>2.8</v>
      </c>
    </row>
    <row r="978" spans="1:5" ht="15" hidden="1">
      <c r="A978" s="347" t="s">
        <v>99</v>
      </c>
      <c r="B978" s="136" t="s">
        <v>100</v>
      </c>
      <c r="C978" s="133" t="s">
        <v>98</v>
      </c>
      <c r="D978" s="70"/>
      <c r="E978" s="348">
        <v>2.3</v>
      </c>
    </row>
    <row r="979" spans="1:5" ht="15.75" hidden="1" thickBot="1">
      <c r="A979" s="24" t="s">
        <v>101</v>
      </c>
      <c r="B979" s="25" t="s">
        <v>102</v>
      </c>
      <c r="C979" s="349" t="s">
        <v>98</v>
      </c>
      <c r="D979" s="350"/>
      <c r="E979" s="351">
        <v>0</v>
      </c>
    </row>
    <row r="980" ht="15" hidden="1"/>
    <row r="981" ht="15" hidden="1"/>
    <row r="982" ht="15" hidden="1"/>
    <row r="983" ht="15" hidden="1">
      <c r="B983" s="323"/>
    </row>
    <row r="984" spans="1:5" ht="15" hidden="1">
      <c r="A984" s="315"/>
      <c r="B984" s="315"/>
      <c r="C984" s="315"/>
      <c r="D984" s="315"/>
      <c r="E984" s="315"/>
    </row>
    <row r="985" spans="1:5" ht="15" hidden="1">
      <c r="A985" s="315"/>
      <c r="B985" s="315"/>
      <c r="C985" s="315"/>
      <c r="D985" s="315"/>
      <c r="E985" s="315"/>
    </row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spans="2:4" ht="15" hidden="1">
      <c r="B997" t="s">
        <v>189</v>
      </c>
      <c r="C997" t="s">
        <v>193</v>
      </c>
      <c r="D997" s="155" t="s">
        <v>190</v>
      </c>
    </row>
    <row r="998" ht="15" hidden="1">
      <c r="C998" s="162" t="s">
        <v>194</v>
      </c>
    </row>
    <row r="999" ht="15" hidden="1"/>
    <row r="1000" ht="15" hidden="1"/>
    <row r="1001" ht="15" hidden="1"/>
    <row r="1002" spans="1:5" ht="15" hidden="1">
      <c r="A1002" s="140" t="s">
        <v>0</v>
      </c>
      <c r="B1002" s="140"/>
      <c r="C1002" s="140"/>
      <c r="D1002" s="140"/>
      <c r="E1002" s="140" t="s">
        <v>107</v>
      </c>
    </row>
    <row r="1003" spans="1:5" ht="15" hidden="1">
      <c r="A1003" s="140" t="s">
        <v>1</v>
      </c>
      <c r="B1003" s="140"/>
      <c r="C1003" s="140"/>
      <c r="D1003" s="140" t="s">
        <v>178</v>
      </c>
      <c r="E1003" s="3"/>
    </row>
    <row r="1004" spans="1:5" ht="15" hidden="1">
      <c r="A1004" s="140" t="s">
        <v>2</v>
      </c>
      <c r="B1004" s="140"/>
      <c r="C1004" s="140"/>
      <c r="D1004" s="140" t="s">
        <v>167</v>
      </c>
      <c r="E1004" s="5"/>
    </row>
    <row r="1005" spans="1:5" ht="15" hidden="1">
      <c r="A1005" s="140" t="s">
        <v>3</v>
      </c>
      <c r="B1005" s="140"/>
      <c r="C1005" s="140"/>
      <c r="D1005" s="140" t="s">
        <v>168</v>
      </c>
      <c r="E1005" s="3"/>
    </row>
    <row r="1006" spans="1:5" ht="15" hidden="1">
      <c r="A1006" s="140" t="s">
        <v>4</v>
      </c>
      <c r="B1006" s="140"/>
      <c r="C1006" s="140"/>
      <c r="D1006" s="140" t="s">
        <v>169</v>
      </c>
      <c r="E1006" s="3"/>
    </row>
    <row r="1007" spans="1:5" ht="15" hidden="1">
      <c r="A1007" s="161" t="s">
        <v>192</v>
      </c>
      <c r="B1007" s="140"/>
      <c r="C1007" s="140"/>
      <c r="D1007" s="140"/>
      <c r="E1007" s="3"/>
    </row>
    <row r="1008" spans="1:5" ht="15" hidden="1">
      <c r="A1008" s="140" t="s">
        <v>5</v>
      </c>
      <c r="B1008" s="140"/>
      <c r="C1008" s="140"/>
      <c r="D1008" s="140" t="s">
        <v>170</v>
      </c>
      <c r="E1008" s="3"/>
    </row>
    <row r="1009" spans="1:5" ht="15" hidden="1">
      <c r="A1009" s="1"/>
      <c r="B1009" s="1"/>
      <c r="C1009" s="1"/>
      <c r="D1009" s="1"/>
      <c r="E1009" s="1"/>
    </row>
    <row r="1010" spans="1:4" ht="15.75" hidden="1">
      <c r="A1010" s="150"/>
      <c r="B1010" s="150" t="s">
        <v>285</v>
      </c>
      <c r="C1010" s="2"/>
      <c r="D1010" s="2"/>
    </row>
    <row r="1011" spans="1:4" ht="15.75" hidden="1">
      <c r="A1011" s="150"/>
      <c r="B1011" s="150"/>
      <c r="C1011" s="159">
        <v>41813</v>
      </c>
      <c r="D1011" s="2"/>
    </row>
    <row r="1012" spans="1:4" ht="15.75" hidden="1">
      <c r="A1012" s="150"/>
      <c r="B1012" s="150"/>
      <c r="C1012" s="160" t="s">
        <v>191</v>
      </c>
      <c r="D1012" s="2"/>
    </row>
    <row r="1013" spans="1:5" ht="15" hidden="1">
      <c r="A1013" s="2" t="s">
        <v>6</v>
      </c>
      <c r="B1013" s="2"/>
      <c r="C1013" s="2"/>
      <c r="D1013" s="2"/>
      <c r="E1013" s="2"/>
    </row>
    <row r="1014" spans="1:5" ht="15" hidden="1">
      <c r="A1014" s="1" t="s">
        <v>260</v>
      </c>
      <c r="B1014" s="1"/>
      <c r="C1014" s="1"/>
      <c r="D1014" s="1"/>
      <c r="E1014" s="1"/>
    </row>
    <row r="1015" spans="1:5" ht="15" hidden="1">
      <c r="A1015" s="1" t="s">
        <v>7</v>
      </c>
      <c r="B1015" s="1"/>
      <c r="C1015" s="1"/>
      <c r="D1015" s="1"/>
      <c r="E1015" s="1"/>
    </row>
    <row r="1016" spans="1:5" ht="15.75" hidden="1" thickBot="1">
      <c r="A1016" s="359" t="s">
        <v>281</v>
      </c>
      <c r="B1016" s="359"/>
      <c r="C1016" s="359"/>
      <c r="D1016" s="359"/>
      <c r="E1016" s="360"/>
    </row>
    <row r="1017" spans="1:5" ht="15" hidden="1">
      <c r="A1017" s="253" t="s">
        <v>8</v>
      </c>
      <c r="B1017" s="254" t="s">
        <v>9</v>
      </c>
      <c r="C1017" s="254" t="s">
        <v>10</v>
      </c>
      <c r="D1017" s="254" t="s">
        <v>11</v>
      </c>
      <c r="E1017" s="256" t="s">
        <v>12</v>
      </c>
    </row>
    <row r="1018" spans="1:5" ht="15" hidden="1">
      <c r="A1018" s="257">
        <v>1</v>
      </c>
      <c r="B1018" s="26">
        <v>2</v>
      </c>
      <c r="C1018" s="26">
        <v>3</v>
      </c>
      <c r="D1018" s="26">
        <v>4</v>
      </c>
      <c r="E1018" s="258">
        <v>5</v>
      </c>
    </row>
    <row r="1019" spans="1:5" ht="15" hidden="1">
      <c r="A1019" s="324" t="s">
        <v>13</v>
      </c>
      <c r="B1019" s="28" t="s">
        <v>14</v>
      </c>
      <c r="C1019" s="28"/>
      <c r="D1019" s="28"/>
      <c r="E1019" s="325"/>
    </row>
    <row r="1020" spans="1:5" ht="17.25" hidden="1">
      <c r="A1020" s="324" t="s">
        <v>15</v>
      </c>
      <c r="B1020" s="141" t="s">
        <v>183</v>
      </c>
      <c r="C1020" s="11" t="s">
        <v>59</v>
      </c>
      <c r="D1020" s="326" t="s">
        <v>179</v>
      </c>
      <c r="E1020" s="327">
        <f>E1021+E1022</f>
        <v>18.659391880017843</v>
      </c>
    </row>
    <row r="1021" spans="1:5" ht="18.75" hidden="1">
      <c r="A1021" s="328" t="s">
        <v>16</v>
      </c>
      <c r="B1021" s="26" t="s">
        <v>18</v>
      </c>
      <c r="C1021" s="13" t="s">
        <v>59</v>
      </c>
      <c r="D1021" s="130" t="s">
        <v>171</v>
      </c>
      <c r="E1021" s="4">
        <v>4.57</v>
      </c>
    </row>
    <row r="1022" spans="1:5" ht="33" hidden="1">
      <c r="A1022" s="329" t="s">
        <v>17</v>
      </c>
      <c r="B1022" s="158" t="s">
        <v>19</v>
      </c>
      <c r="C1022" s="30" t="s">
        <v>59</v>
      </c>
      <c r="D1022" s="31" t="s">
        <v>278</v>
      </c>
      <c r="E1022" s="330">
        <f>0.29+((4325*E1027+226*E1035+106.1*E1031+509*E1039)/(44.84*1000))/10</f>
        <v>14.08939188001784</v>
      </c>
    </row>
    <row r="1023" spans="1:5" ht="15" hidden="1">
      <c r="A1023" s="328" t="s">
        <v>21</v>
      </c>
      <c r="B1023" s="33" t="s">
        <v>22</v>
      </c>
      <c r="C1023" s="34"/>
      <c r="D1023" s="37"/>
      <c r="E1023" s="331"/>
    </row>
    <row r="1024" spans="1:5" ht="15" hidden="1">
      <c r="A1024" s="332" t="s">
        <v>23</v>
      </c>
      <c r="B1024" s="54" t="s">
        <v>24</v>
      </c>
      <c r="C1024" s="55"/>
      <c r="D1024" s="55"/>
      <c r="E1024" s="333"/>
    </row>
    <row r="1025" spans="1:5" ht="15" hidden="1">
      <c r="A1025" s="328" t="s">
        <v>25</v>
      </c>
      <c r="B1025" s="26" t="s">
        <v>26</v>
      </c>
      <c r="C1025" s="36" t="s">
        <v>41</v>
      </c>
      <c r="D1025" s="26"/>
      <c r="E1025" s="334">
        <v>996.42</v>
      </c>
    </row>
    <row r="1026" spans="1:5" ht="15" hidden="1">
      <c r="A1026" s="328" t="s">
        <v>27</v>
      </c>
      <c r="B1026" s="26" t="s">
        <v>28</v>
      </c>
      <c r="C1026" s="7" t="s">
        <v>41</v>
      </c>
      <c r="D1026" s="26"/>
      <c r="E1026" s="258">
        <v>313.23</v>
      </c>
    </row>
    <row r="1027" spans="1:5" ht="15" hidden="1">
      <c r="A1027" s="328" t="s">
        <v>29</v>
      </c>
      <c r="B1027" s="42" t="s">
        <v>30</v>
      </c>
      <c r="C1027" s="43" t="s">
        <v>41</v>
      </c>
      <c r="D1027" s="26"/>
      <c r="E1027" s="335">
        <f>E1025+E1026</f>
        <v>1309.65</v>
      </c>
    </row>
    <row r="1028" spans="1:5" ht="15" hidden="1">
      <c r="A1028" s="336" t="s">
        <v>31</v>
      </c>
      <c r="B1028" s="45" t="s">
        <v>265</v>
      </c>
      <c r="C1028" s="46"/>
      <c r="D1028" s="46"/>
      <c r="E1028" s="337"/>
    </row>
    <row r="1029" spans="1:5" ht="15" hidden="1">
      <c r="A1029" s="328" t="s">
        <v>35</v>
      </c>
      <c r="B1029" s="26" t="s">
        <v>26</v>
      </c>
      <c r="C1029" s="44" t="s">
        <v>33</v>
      </c>
      <c r="D1029" s="26"/>
      <c r="E1029" s="334"/>
    </row>
    <row r="1030" spans="1:5" ht="15" hidden="1">
      <c r="A1030" s="328" t="s">
        <v>36</v>
      </c>
      <c r="B1030" s="26" t="s">
        <v>28</v>
      </c>
      <c r="C1030" s="6" t="s">
        <v>33</v>
      </c>
      <c r="D1030" s="26"/>
      <c r="E1030" s="334"/>
    </row>
    <row r="1031" spans="1:5" ht="15" hidden="1">
      <c r="A1031" s="328" t="s">
        <v>37</v>
      </c>
      <c r="B1031" s="26" t="s">
        <v>30</v>
      </c>
      <c r="C1031" s="48" t="s">
        <v>33</v>
      </c>
      <c r="D1031" s="26"/>
      <c r="E1031" s="335">
        <v>408.99</v>
      </c>
    </row>
    <row r="1032" spans="1:5" ht="15" hidden="1">
      <c r="A1032" s="336" t="s">
        <v>31</v>
      </c>
      <c r="B1032" s="45" t="s">
        <v>266</v>
      </c>
      <c r="C1032" s="46"/>
      <c r="D1032" s="46"/>
      <c r="E1032" s="337"/>
    </row>
    <row r="1033" spans="1:5" ht="15" hidden="1">
      <c r="A1033" s="328" t="s">
        <v>35</v>
      </c>
      <c r="B1033" s="26" t="s">
        <v>26</v>
      </c>
      <c r="C1033" s="44" t="s">
        <v>33</v>
      </c>
      <c r="D1033" s="26"/>
      <c r="E1033" s="334"/>
    </row>
    <row r="1034" spans="1:5" ht="15" hidden="1">
      <c r="A1034" s="328" t="s">
        <v>36</v>
      </c>
      <c r="B1034" s="26" t="s">
        <v>28</v>
      </c>
      <c r="C1034" s="6" t="s">
        <v>33</v>
      </c>
      <c r="D1034" s="26"/>
      <c r="E1034" s="334"/>
    </row>
    <row r="1035" spans="1:5" ht="15" hidden="1">
      <c r="A1035" s="328" t="s">
        <v>37</v>
      </c>
      <c r="B1035" s="26" t="s">
        <v>30</v>
      </c>
      <c r="C1035" s="48" t="s">
        <v>33</v>
      </c>
      <c r="D1035" s="26"/>
      <c r="E1035" s="335">
        <v>360.24</v>
      </c>
    </row>
    <row r="1036" spans="1:5" ht="15" hidden="1">
      <c r="A1036" s="338" t="s">
        <v>34</v>
      </c>
      <c r="B1036" s="50" t="s">
        <v>103</v>
      </c>
      <c r="C1036" s="51"/>
      <c r="D1036" s="51"/>
      <c r="E1036" s="339"/>
    </row>
    <row r="1037" spans="1:5" ht="15" hidden="1">
      <c r="A1037" s="340" t="s">
        <v>38</v>
      </c>
      <c r="B1037" s="49" t="s">
        <v>26</v>
      </c>
      <c r="C1037" s="44" t="s">
        <v>33</v>
      </c>
      <c r="D1037" s="26"/>
      <c r="E1037" s="334">
        <f>Lapas3!D908</f>
        <v>0</v>
      </c>
    </row>
    <row r="1038" spans="1:5" ht="15" hidden="1">
      <c r="A1038" s="340" t="s">
        <v>39</v>
      </c>
      <c r="B1038" s="26" t="s">
        <v>28</v>
      </c>
      <c r="C1038" s="6" t="s">
        <v>33</v>
      </c>
      <c r="D1038" s="26"/>
      <c r="E1038" s="258"/>
    </row>
    <row r="1039" spans="1:5" ht="15" hidden="1">
      <c r="A1039" s="23" t="s">
        <v>40</v>
      </c>
      <c r="B1039" s="42" t="s">
        <v>30</v>
      </c>
      <c r="C1039" s="48" t="s">
        <v>33</v>
      </c>
      <c r="D1039" s="26"/>
      <c r="E1039" s="335">
        <v>783.11</v>
      </c>
    </row>
    <row r="1040" spans="1:5" ht="15" hidden="1">
      <c r="A1040" s="341" t="s">
        <v>42</v>
      </c>
      <c r="B1040" s="58" t="s">
        <v>43</v>
      </c>
      <c r="C1040" s="59"/>
      <c r="D1040" s="59"/>
      <c r="E1040" s="342"/>
    </row>
    <row r="1041" spans="1:5" ht="15" hidden="1">
      <c r="A1041" s="257" t="s">
        <v>44</v>
      </c>
      <c r="B1041" s="26" t="s">
        <v>104</v>
      </c>
      <c r="C1041" s="26"/>
      <c r="D1041" s="26"/>
      <c r="E1041" s="343" t="s">
        <v>106</v>
      </c>
    </row>
    <row r="1042" spans="1:5" ht="15" hidden="1">
      <c r="A1042" s="257" t="s">
        <v>45</v>
      </c>
      <c r="B1042" s="26" t="s">
        <v>105</v>
      </c>
      <c r="C1042" s="13" t="s">
        <v>59</v>
      </c>
      <c r="D1042" s="26"/>
      <c r="E1042" s="258">
        <v>0</v>
      </c>
    </row>
    <row r="1043" spans="1:5" ht="17.25" hidden="1">
      <c r="A1043" s="344" t="s">
        <v>46</v>
      </c>
      <c r="B1043" s="144" t="s">
        <v>172</v>
      </c>
      <c r="C1043" s="148" t="s">
        <v>59</v>
      </c>
      <c r="D1043" s="149" t="s">
        <v>181</v>
      </c>
      <c r="E1043" s="352">
        <f>E1044+E1045</f>
        <v>18.659391880017843</v>
      </c>
    </row>
    <row r="1044" spans="1:5" ht="18.75" hidden="1">
      <c r="A1044" s="257" t="s">
        <v>48</v>
      </c>
      <c r="B1044" s="26" t="s">
        <v>49</v>
      </c>
      <c r="C1044" s="61" t="s">
        <v>59</v>
      </c>
      <c r="D1044" s="130" t="s">
        <v>173</v>
      </c>
      <c r="E1044" s="334">
        <f>E1021</f>
        <v>4.57</v>
      </c>
    </row>
    <row r="1045" spans="1:5" ht="33" hidden="1">
      <c r="A1045" s="329" t="s">
        <v>50</v>
      </c>
      <c r="B1045" s="39" t="s">
        <v>51</v>
      </c>
      <c r="C1045" s="30" t="s">
        <v>59</v>
      </c>
      <c r="D1045" s="62" t="s">
        <v>278</v>
      </c>
      <c r="E1045" s="346">
        <f>E1022</f>
        <v>14.08939188001784</v>
      </c>
    </row>
    <row r="1046" spans="1:5" ht="15" hidden="1">
      <c r="A1046" s="257" t="s">
        <v>52</v>
      </c>
      <c r="B1046" s="63" t="s">
        <v>53</v>
      </c>
      <c r="C1046" s="37"/>
      <c r="D1046" s="37"/>
      <c r="E1046" s="331"/>
    </row>
    <row r="1047" spans="1:5" ht="15" hidden="1">
      <c r="A1047" s="257" t="s">
        <v>54</v>
      </c>
      <c r="B1047" s="26" t="s">
        <v>55</v>
      </c>
      <c r="C1047" s="13" t="s">
        <v>56</v>
      </c>
      <c r="D1047" s="26"/>
      <c r="E1047" s="258">
        <v>33.34</v>
      </c>
    </row>
    <row r="1048" spans="1:5" ht="15" hidden="1">
      <c r="A1048" s="257" t="s">
        <v>57</v>
      </c>
      <c r="B1048" s="26" t="s">
        <v>58</v>
      </c>
      <c r="C1048" s="13" t="s">
        <v>59</v>
      </c>
      <c r="D1048" s="64" t="s">
        <v>47</v>
      </c>
      <c r="E1048" s="334">
        <f>E1045</f>
        <v>14.08939188001784</v>
      </c>
    </row>
    <row r="1049" spans="1:5" ht="15" hidden="1">
      <c r="A1049" s="324" t="s">
        <v>60</v>
      </c>
      <c r="B1049" s="459" t="s">
        <v>61</v>
      </c>
      <c r="C1049" s="460"/>
      <c r="D1049" s="460"/>
      <c r="E1049" s="461"/>
    </row>
    <row r="1050" spans="1:5" ht="17.25" hidden="1">
      <c r="A1050" s="14" t="s">
        <v>62</v>
      </c>
      <c r="B1050" s="18" t="s">
        <v>182</v>
      </c>
      <c r="C1050" s="11" t="s">
        <v>59</v>
      </c>
      <c r="D1050" s="149" t="s">
        <v>180</v>
      </c>
      <c r="E1050" s="327">
        <f>E1051+E1052</f>
        <v>6.442925457748117</v>
      </c>
    </row>
    <row r="1051" spans="1:5" ht="18.75" hidden="1">
      <c r="A1051" s="15" t="s">
        <v>63</v>
      </c>
      <c r="B1051" s="16" t="s">
        <v>64</v>
      </c>
      <c r="C1051" s="13" t="s">
        <v>59</v>
      </c>
      <c r="D1051" s="130" t="s">
        <v>174</v>
      </c>
      <c r="E1051" s="258">
        <v>2.44</v>
      </c>
    </row>
    <row r="1052" spans="1:5" ht="18.75" hidden="1">
      <c r="A1052" s="15" t="s">
        <v>65</v>
      </c>
      <c r="B1052" s="17" t="s">
        <v>66</v>
      </c>
      <c r="C1052" s="22"/>
      <c r="D1052" s="361" t="s">
        <v>279</v>
      </c>
      <c r="E1052" s="334">
        <f>0.41+(7.24*E1020/37.6)</f>
        <v>4.002925457748117</v>
      </c>
    </row>
    <row r="1053" spans="1:5" ht="15" hidden="1">
      <c r="A1053" s="14" t="s">
        <v>67</v>
      </c>
      <c r="B1053" s="18" t="s">
        <v>68</v>
      </c>
      <c r="C1053" s="11"/>
      <c r="D1053" s="26"/>
      <c r="E1053" s="258"/>
    </row>
    <row r="1054" spans="1:5" ht="15" hidden="1">
      <c r="A1054" s="14" t="s">
        <v>69</v>
      </c>
      <c r="B1054" s="19" t="s">
        <v>55</v>
      </c>
      <c r="C1054" s="12" t="s">
        <v>56</v>
      </c>
      <c r="D1054" s="26"/>
      <c r="E1054" s="334">
        <v>16.1</v>
      </c>
    </row>
    <row r="1055" spans="1:5" ht="18.75" hidden="1">
      <c r="A1055" s="14" t="s">
        <v>70</v>
      </c>
      <c r="B1055" s="19" t="s">
        <v>71</v>
      </c>
      <c r="C1055" s="13" t="s">
        <v>59</v>
      </c>
      <c r="D1055" s="130" t="s">
        <v>176</v>
      </c>
      <c r="E1055" s="334">
        <f>E1052</f>
        <v>4.002925457748117</v>
      </c>
    </row>
    <row r="1056" spans="1:5" ht="15" hidden="1">
      <c r="A1056" s="347" t="s">
        <v>72</v>
      </c>
      <c r="B1056" s="454" t="s">
        <v>73</v>
      </c>
      <c r="C1056" s="455"/>
      <c r="D1056" s="455"/>
      <c r="E1056" s="456"/>
    </row>
    <row r="1057" spans="1:5" ht="15" hidden="1">
      <c r="A1057" s="457" t="s">
        <v>79</v>
      </c>
      <c r="B1057" s="20" t="s">
        <v>74</v>
      </c>
      <c r="C1057" s="13" t="s">
        <v>59</v>
      </c>
      <c r="D1057" s="132" t="s">
        <v>106</v>
      </c>
      <c r="E1057" s="264">
        <v>0.31</v>
      </c>
    </row>
    <row r="1058" spans="1:5" ht="15" hidden="1">
      <c r="A1058" s="458"/>
      <c r="B1058" s="21" t="s">
        <v>75</v>
      </c>
      <c r="C1058" s="61" t="s">
        <v>76</v>
      </c>
      <c r="D1058" s="132" t="s">
        <v>106</v>
      </c>
      <c r="E1058" s="264">
        <v>2.34</v>
      </c>
    </row>
    <row r="1059" spans="1:5" ht="15.75" hidden="1" thickBot="1">
      <c r="A1059" s="458"/>
      <c r="B1059" s="21" t="s">
        <v>77</v>
      </c>
      <c r="C1059" s="131" t="s">
        <v>78</v>
      </c>
      <c r="D1059" s="132" t="s">
        <v>106</v>
      </c>
      <c r="E1059" s="264">
        <v>46.34</v>
      </c>
    </row>
    <row r="1060" spans="1:5" ht="15" hidden="1">
      <c r="A1060" s="347" t="s">
        <v>80</v>
      </c>
      <c r="B1060" s="135" t="s">
        <v>81</v>
      </c>
      <c r="C1060" s="13" t="s">
        <v>59</v>
      </c>
      <c r="D1060" s="70"/>
      <c r="E1060" s="264">
        <v>-0.07</v>
      </c>
    </row>
    <row r="1061" spans="1:5" ht="15" hidden="1">
      <c r="A1061" s="347" t="s">
        <v>82</v>
      </c>
      <c r="B1061" s="135" t="s">
        <v>83</v>
      </c>
      <c r="C1061" s="13" t="s">
        <v>59</v>
      </c>
      <c r="D1061" s="70"/>
      <c r="E1061" s="264">
        <v>-0.14</v>
      </c>
    </row>
    <row r="1062" spans="1:5" ht="15" hidden="1">
      <c r="A1062" s="347" t="s">
        <v>84</v>
      </c>
      <c r="B1062" s="135" t="s">
        <v>267</v>
      </c>
      <c r="C1062" s="13" t="s">
        <v>59</v>
      </c>
      <c r="D1062" s="70"/>
      <c r="E1062" s="272">
        <f>E1043+E1050+E1057+E1060+E1061</f>
        <v>25.202317337765958</v>
      </c>
    </row>
    <row r="1063" spans="1:5" ht="15" hidden="1">
      <c r="A1063" s="347" t="s">
        <v>85</v>
      </c>
      <c r="B1063" s="135" t="s">
        <v>86</v>
      </c>
      <c r="C1063" s="13" t="s">
        <v>59</v>
      </c>
      <c r="D1063" s="70"/>
      <c r="E1063" s="264">
        <v>0</v>
      </c>
    </row>
    <row r="1064" spans="1:5" ht="15" hidden="1">
      <c r="A1064" s="347" t="s">
        <v>87</v>
      </c>
      <c r="B1064" s="135" t="s">
        <v>88</v>
      </c>
      <c r="C1064" s="11" t="s">
        <v>59</v>
      </c>
      <c r="D1064" s="137"/>
      <c r="E1064" s="272">
        <f>E1062</f>
        <v>25.202317337765958</v>
      </c>
    </row>
    <row r="1065" spans="1:5" ht="15" hidden="1">
      <c r="A1065" s="347" t="s">
        <v>89</v>
      </c>
      <c r="B1065" s="135" t="s">
        <v>90</v>
      </c>
      <c r="C1065" s="11" t="s">
        <v>59</v>
      </c>
      <c r="D1065" s="137"/>
      <c r="E1065" s="273">
        <f>E1064*1.09</f>
        <v>27.470525898164897</v>
      </c>
    </row>
    <row r="1066" spans="1:5" ht="15" hidden="1">
      <c r="A1066" s="347" t="s">
        <v>91</v>
      </c>
      <c r="B1066" s="135" t="s">
        <v>92</v>
      </c>
      <c r="C1066" s="11" t="s">
        <v>59</v>
      </c>
      <c r="D1066" s="137"/>
      <c r="E1066" s="273">
        <f>E973</f>
        <v>27.771551944148936</v>
      </c>
    </row>
    <row r="1067" spans="1:5" ht="15" hidden="1">
      <c r="A1067" s="347" t="s">
        <v>93</v>
      </c>
      <c r="B1067" s="135" t="s">
        <v>94</v>
      </c>
      <c r="C1067" s="134" t="s">
        <v>95</v>
      </c>
      <c r="D1067" s="137"/>
      <c r="E1067" s="273">
        <f>(E1062/E1066)*100-100</f>
        <v>-9.25131808099863</v>
      </c>
    </row>
    <row r="1068" spans="1:5" ht="15" hidden="1">
      <c r="A1068" s="347" t="s">
        <v>96</v>
      </c>
      <c r="B1068" s="136" t="s">
        <v>97</v>
      </c>
      <c r="C1068" s="138" t="s">
        <v>98</v>
      </c>
      <c r="D1068" s="139"/>
      <c r="E1068" s="348">
        <v>1.2</v>
      </c>
    </row>
    <row r="1069" spans="1:5" ht="15" hidden="1">
      <c r="A1069" s="347" t="s">
        <v>99</v>
      </c>
      <c r="B1069" s="136" t="s">
        <v>100</v>
      </c>
      <c r="C1069" s="133" t="s">
        <v>98</v>
      </c>
      <c r="D1069" s="70"/>
      <c r="E1069" s="348">
        <v>0.7</v>
      </c>
    </row>
    <row r="1070" spans="1:5" ht="15.75" hidden="1" thickBot="1">
      <c r="A1070" s="24" t="s">
        <v>101</v>
      </c>
      <c r="B1070" s="25" t="s">
        <v>102</v>
      </c>
      <c r="C1070" s="349" t="s">
        <v>98</v>
      </c>
      <c r="D1070" s="350"/>
      <c r="E1070" s="351">
        <v>0</v>
      </c>
    </row>
    <row r="1071" ht="15" hidden="1"/>
    <row r="1072" ht="15" hidden="1"/>
    <row r="1073" ht="15" hidden="1"/>
    <row r="1074" ht="15" hidden="1">
      <c r="B1074" s="323"/>
    </row>
    <row r="1075" spans="1:5" ht="15" hidden="1">
      <c r="A1075" s="315"/>
      <c r="B1075" s="315"/>
      <c r="C1075" s="315"/>
      <c r="D1075" s="315"/>
      <c r="E1075" s="315"/>
    </row>
    <row r="1076" spans="1:5" ht="15" hidden="1">
      <c r="A1076" s="315"/>
      <c r="B1076" s="315"/>
      <c r="C1076" s="315"/>
      <c r="D1076" s="315"/>
      <c r="E1076" s="315"/>
    </row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spans="2:4" ht="15" hidden="1">
      <c r="B1088" t="s">
        <v>189</v>
      </c>
      <c r="C1088" t="s">
        <v>193</v>
      </c>
      <c r="D1088" s="155" t="s">
        <v>190</v>
      </c>
    </row>
    <row r="1089" ht="15" hidden="1">
      <c r="C1089" s="162" t="s">
        <v>194</v>
      </c>
    </row>
    <row r="1090" ht="15" hidden="1"/>
    <row r="1091" ht="15" hidden="1"/>
    <row r="1092" ht="15" hidden="1"/>
    <row r="1093" spans="1:5" ht="15" hidden="1">
      <c r="A1093" s="140" t="s">
        <v>0</v>
      </c>
      <c r="B1093" s="140"/>
      <c r="C1093" s="140"/>
      <c r="D1093" s="140"/>
      <c r="E1093" s="140" t="s">
        <v>107</v>
      </c>
    </row>
    <row r="1094" spans="1:5" ht="15" hidden="1">
      <c r="A1094" s="140" t="s">
        <v>1</v>
      </c>
      <c r="B1094" s="140"/>
      <c r="C1094" s="140"/>
      <c r="D1094" s="140" t="s">
        <v>178</v>
      </c>
      <c r="E1094" s="3"/>
    </row>
    <row r="1095" spans="1:5" ht="15" hidden="1">
      <c r="A1095" s="140" t="s">
        <v>2</v>
      </c>
      <c r="B1095" s="140"/>
      <c r="C1095" s="140"/>
      <c r="D1095" s="140" t="s">
        <v>167</v>
      </c>
      <c r="E1095" s="5"/>
    </row>
    <row r="1096" spans="1:5" ht="15" hidden="1">
      <c r="A1096" s="140" t="s">
        <v>3</v>
      </c>
      <c r="B1096" s="140"/>
      <c r="C1096" s="140"/>
      <c r="D1096" s="140" t="s">
        <v>168</v>
      </c>
      <c r="E1096" s="3"/>
    </row>
    <row r="1097" spans="1:5" ht="15" hidden="1">
      <c r="A1097" s="140" t="s">
        <v>4</v>
      </c>
      <c r="B1097" s="140"/>
      <c r="C1097" s="140"/>
      <c r="D1097" s="140" t="s">
        <v>169</v>
      </c>
      <c r="E1097" s="3"/>
    </row>
    <row r="1098" spans="1:5" ht="15" hidden="1">
      <c r="A1098" s="161" t="s">
        <v>192</v>
      </c>
      <c r="B1098" s="140"/>
      <c r="C1098" s="140"/>
      <c r="D1098" s="140"/>
      <c r="E1098" s="3"/>
    </row>
    <row r="1099" spans="1:5" ht="15" hidden="1">
      <c r="A1099" s="140" t="s">
        <v>5</v>
      </c>
      <c r="B1099" s="140"/>
      <c r="C1099" s="140"/>
      <c r="D1099" s="140" t="s">
        <v>170</v>
      </c>
      <c r="E1099" s="3"/>
    </row>
    <row r="1100" spans="1:5" ht="15" hidden="1">
      <c r="A1100" s="1"/>
      <c r="B1100" s="1"/>
      <c r="C1100" s="1"/>
      <c r="D1100" s="1"/>
      <c r="E1100" s="1"/>
    </row>
    <row r="1101" spans="1:4" ht="15.75" hidden="1">
      <c r="A1101" s="150"/>
      <c r="B1101" s="150" t="s">
        <v>286</v>
      </c>
      <c r="C1101" s="2"/>
      <c r="D1101" s="2"/>
    </row>
    <row r="1102" spans="1:4" ht="15.75" hidden="1">
      <c r="A1102" s="150"/>
      <c r="B1102" s="150"/>
      <c r="C1102" s="363">
        <v>41838</v>
      </c>
      <c r="D1102" s="2"/>
    </row>
    <row r="1103" spans="1:4" ht="15.75" hidden="1">
      <c r="A1103" s="150"/>
      <c r="B1103" s="150"/>
      <c r="C1103" s="160" t="s">
        <v>191</v>
      </c>
      <c r="D1103" s="2"/>
    </row>
    <row r="1104" spans="1:5" ht="15" hidden="1">
      <c r="A1104" s="2" t="s">
        <v>6</v>
      </c>
      <c r="B1104" s="2"/>
      <c r="C1104" s="2"/>
      <c r="D1104" s="2"/>
      <c r="E1104" s="2"/>
    </row>
    <row r="1105" spans="1:5" ht="15" hidden="1">
      <c r="A1105" s="1" t="s">
        <v>260</v>
      </c>
      <c r="B1105" s="1"/>
      <c r="C1105" s="1"/>
      <c r="D1105" s="1"/>
      <c r="E1105" s="1"/>
    </row>
    <row r="1106" spans="1:5" ht="15" hidden="1">
      <c r="A1106" s="1" t="s">
        <v>7</v>
      </c>
      <c r="B1106" s="1"/>
      <c r="C1106" s="1"/>
      <c r="D1106" s="1"/>
      <c r="E1106" s="1"/>
    </row>
    <row r="1107" spans="1:5" ht="15.75" hidden="1" thickBot="1">
      <c r="A1107" s="359" t="s">
        <v>281</v>
      </c>
      <c r="B1107" s="359"/>
      <c r="C1107" s="359"/>
      <c r="D1107" s="359"/>
      <c r="E1107" s="360"/>
    </row>
    <row r="1108" spans="1:5" ht="15" hidden="1">
      <c r="A1108" s="253" t="s">
        <v>8</v>
      </c>
      <c r="B1108" s="254" t="s">
        <v>9</v>
      </c>
      <c r="C1108" s="254" t="s">
        <v>10</v>
      </c>
      <c r="D1108" s="254" t="s">
        <v>11</v>
      </c>
      <c r="E1108" s="256" t="s">
        <v>12</v>
      </c>
    </row>
    <row r="1109" spans="1:5" ht="15" hidden="1">
      <c r="A1109" s="257">
        <v>1</v>
      </c>
      <c r="B1109" s="26">
        <v>2</v>
      </c>
      <c r="C1109" s="26">
        <v>3</v>
      </c>
      <c r="D1109" s="26">
        <v>4</v>
      </c>
      <c r="E1109" s="258">
        <v>5</v>
      </c>
    </row>
    <row r="1110" spans="1:5" ht="15" hidden="1">
      <c r="A1110" s="324" t="s">
        <v>13</v>
      </c>
      <c r="B1110" s="28" t="s">
        <v>14</v>
      </c>
      <c r="C1110" s="28"/>
      <c r="D1110" s="28"/>
      <c r="E1110" s="325"/>
    </row>
    <row r="1111" spans="1:5" ht="17.25" hidden="1">
      <c r="A1111" s="324" t="s">
        <v>15</v>
      </c>
      <c r="B1111" s="141" t="s">
        <v>183</v>
      </c>
      <c r="C1111" s="11" t="s">
        <v>59</v>
      </c>
      <c r="D1111" s="326" t="s">
        <v>179</v>
      </c>
      <c r="E1111" s="327">
        <f>E1112+E1113</f>
        <v>18.622187062890273</v>
      </c>
    </row>
    <row r="1112" spans="1:5" ht="18.75" hidden="1">
      <c r="A1112" s="328" t="s">
        <v>16</v>
      </c>
      <c r="B1112" s="26" t="s">
        <v>18</v>
      </c>
      <c r="C1112" s="13" t="s">
        <v>59</v>
      </c>
      <c r="D1112" s="130" t="s">
        <v>171</v>
      </c>
      <c r="E1112" s="4">
        <v>4.57</v>
      </c>
    </row>
    <row r="1113" spans="1:5" ht="33" hidden="1">
      <c r="A1113" s="329" t="s">
        <v>17</v>
      </c>
      <c r="B1113" s="158" t="s">
        <v>19</v>
      </c>
      <c r="C1113" s="30" t="s">
        <v>59</v>
      </c>
      <c r="D1113" s="31" t="s">
        <v>278</v>
      </c>
      <c r="E1113" s="330">
        <f>0.29+((4325*E1118+226*E1126+106.1*E1122+509*E1130)/(44.84*1000))/10</f>
        <v>14.052187062890273</v>
      </c>
    </row>
    <row r="1114" spans="1:5" ht="15" hidden="1">
      <c r="A1114" s="328" t="s">
        <v>21</v>
      </c>
      <c r="B1114" s="33" t="s">
        <v>22</v>
      </c>
      <c r="C1114" s="34"/>
      <c r="D1114" s="37"/>
      <c r="E1114" s="331"/>
    </row>
    <row r="1115" spans="1:5" ht="15" hidden="1">
      <c r="A1115" s="332" t="s">
        <v>23</v>
      </c>
      <c r="B1115" s="54" t="s">
        <v>24</v>
      </c>
      <c r="C1115" s="55"/>
      <c r="D1115" s="55"/>
      <c r="E1115" s="333"/>
    </row>
    <row r="1116" spans="1:5" ht="15" hidden="1">
      <c r="A1116" s="328" t="s">
        <v>25</v>
      </c>
      <c r="B1116" s="26" t="s">
        <v>26</v>
      </c>
      <c r="C1116" s="36" t="s">
        <v>41</v>
      </c>
      <c r="D1116" s="26"/>
      <c r="E1116" s="334">
        <v>997.19</v>
      </c>
    </row>
    <row r="1117" spans="1:5" ht="15" hidden="1">
      <c r="A1117" s="328" t="s">
        <v>27</v>
      </c>
      <c r="B1117" s="26" t="s">
        <v>28</v>
      </c>
      <c r="C1117" s="7" t="s">
        <v>41</v>
      </c>
      <c r="D1117" s="26"/>
      <c r="E1117" s="258">
        <v>313.23</v>
      </c>
    </row>
    <row r="1118" spans="1:5" ht="15" hidden="1">
      <c r="A1118" s="328" t="s">
        <v>29</v>
      </c>
      <c r="B1118" s="42" t="s">
        <v>30</v>
      </c>
      <c r="C1118" s="43" t="s">
        <v>41</v>
      </c>
      <c r="D1118" s="26"/>
      <c r="E1118" s="335">
        <f>E1116+E1117</f>
        <v>1310.42</v>
      </c>
    </row>
    <row r="1119" spans="1:5" ht="15" hidden="1">
      <c r="A1119" s="336" t="s">
        <v>31</v>
      </c>
      <c r="B1119" s="45" t="s">
        <v>265</v>
      </c>
      <c r="C1119" s="46"/>
      <c r="D1119" s="46"/>
      <c r="E1119" s="337"/>
    </row>
    <row r="1120" spans="1:5" ht="15" hidden="1">
      <c r="A1120" s="328" t="s">
        <v>35</v>
      </c>
      <c r="B1120" s="26" t="s">
        <v>26</v>
      </c>
      <c r="C1120" s="44" t="s">
        <v>33</v>
      </c>
      <c r="D1120" s="26"/>
      <c r="E1120" s="334"/>
    </row>
    <row r="1121" spans="1:5" ht="15" hidden="1">
      <c r="A1121" s="328" t="s">
        <v>36</v>
      </c>
      <c r="B1121" s="26" t="s">
        <v>28</v>
      </c>
      <c r="C1121" s="6" t="s">
        <v>33</v>
      </c>
      <c r="D1121" s="26"/>
      <c r="E1121" s="334"/>
    </row>
    <row r="1122" spans="1:5" ht="15" hidden="1">
      <c r="A1122" s="328" t="s">
        <v>37</v>
      </c>
      <c r="B1122" s="26" t="s">
        <v>30</v>
      </c>
      <c r="C1122" s="48" t="s">
        <v>33</v>
      </c>
      <c r="D1122" s="26"/>
      <c r="E1122" s="335">
        <v>408.99</v>
      </c>
    </row>
    <row r="1123" spans="1:5" ht="15" hidden="1">
      <c r="A1123" s="336" t="s">
        <v>31</v>
      </c>
      <c r="B1123" s="45" t="s">
        <v>266</v>
      </c>
      <c r="C1123" s="46"/>
      <c r="D1123" s="46"/>
      <c r="E1123" s="337"/>
    </row>
    <row r="1124" spans="1:5" ht="15" hidden="1">
      <c r="A1124" s="328" t="s">
        <v>35</v>
      </c>
      <c r="B1124" s="26" t="s">
        <v>26</v>
      </c>
      <c r="C1124" s="44" t="s">
        <v>33</v>
      </c>
      <c r="D1124" s="26"/>
      <c r="E1124" s="334"/>
    </row>
    <row r="1125" spans="1:5" ht="15" hidden="1">
      <c r="A1125" s="328" t="s">
        <v>36</v>
      </c>
      <c r="B1125" s="26" t="s">
        <v>28</v>
      </c>
      <c r="C1125" s="6" t="s">
        <v>33</v>
      </c>
      <c r="D1125" s="26"/>
      <c r="E1125" s="334"/>
    </row>
    <row r="1126" spans="1:5" ht="15" hidden="1">
      <c r="A1126" s="328" t="s">
        <v>37</v>
      </c>
      <c r="B1126" s="26" t="s">
        <v>30</v>
      </c>
      <c r="C1126" s="48" t="s">
        <v>33</v>
      </c>
      <c r="D1126" s="26"/>
      <c r="E1126" s="335">
        <v>363.42</v>
      </c>
    </row>
    <row r="1127" spans="1:5" ht="15" hidden="1">
      <c r="A1127" s="338" t="s">
        <v>34</v>
      </c>
      <c r="B1127" s="50" t="s">
        <v>103</v>
      </c>
      <c r="C1127" s="51"/>
      <c r="D1127" s="51"/>
      <c r="E1127" s="339"/>
    </row>
    <row r="1128" spans="1:5" ht="15" hidden="1">
      <c r="A1128" s="340" t="s">
        <v>38</v>
      </c>
      <c r="B1128" s="49" t="s">
        <v>26</v>
      </c>
      <c r="C1128" s="44" t="s">
        <v>33</v>
      </c>
      <c r="D1128" s="26"/>
      <c r="E1128" s="334">
        <f>Lapas3!D999</f>
        <v>0</v>
      </c>
    </row>
    <row r="1129" spans="1:5" ht="15" hidden="1">
      <c r="A1129" s="340" t="s">
        <v>39</v>
      </c>
      <c r="B1129" s="26" t="s">
        <v>28</v>
      </c>
      <c r="C1129" s="6" t="s">
        <v>33</v>
      </c>
      <c r="D1129" s="26"/>
      <c r="E1129" s="258"/>
    </row>
    <row r="1130" spans="1:5" ht="15" hidden="1">
      <c r="A1130" s="23" t="s">
        <v>40</v>
      </c>
      <c r="B1130" s="42" t="s">
        <v>30</v>
      </c>
      <c r="C1130" s="48" t="s">
        <v>33</v>
      </c>
      <c r="D1130" s="26"/>
      <c r="E1130" s="335">
        <v>742.38</v>
      </c>
    </row>
    <row r="1131" spans="1:5" ht="15" hidden="1">
      <c r="A1131" s="341" t="s">
        <v>42</v>
      </c>
      <c r="B1131" s="58" t="s">
        <v>43</v>
      </c>
      <c r="C1131" s="59"/>
      <c r="D1131" s="59"/>
      <c r="E1131" s="342"/>
    </row>
    <row r="1132" spans="1:5" ht="15" hidden="1">
      <c r="A1132" s="257" t="s">
        <v>44</v>
      </c>
      <c r="B1132" s="26" t="s">
        <v>104</v>
      </c>
      <c r="C1132" s="26"/>
      <c r="D1132" s="26"/>
      <c r="E1132" s="343" t="s">
        <v>106</v>
      </c>
    </row>
    <row r="1133" spans="1:5" ht="15" hidden="1">
      <c r="A1133" s="257" t="s">
        <v>45</v>
      </c>
      <c r="B1133" s="26" t="s">
        <v>105</v>
      </c>
      <c r="C1133" s="13" t="s">
        <v>59</v>
      </c>
      <c r="D1133" s="26"/>
      <c r="E1133" s="258">
        <v>0</v>
      </c>
    </row>
    <row r="1134" spans="1:5" ht="17.25" hidden="1">
      <c r="A1134" s="344" t="s">
        <v>46</v>
      </c>
      <c r="B1134" s="144" t="s">
        <v>172</v>
      </c>
      <c r="C1134" s="148" t="s">
        <v>59</v>
      </c>
      <c r="D1134" s="149" t="s">
        <v>181</v>
      </c>
      <c r="E1134" s="352">
        <f>E1135+E1136</f>
        <v>18.622187062890273</v>
      </c>
    </row>
    <row r="1135" spans="1:5" ht="18.75" hidden="1">
      <c r="A1135" s="257" t="s">
        <v>48</v>
      </c>
      <c r="B1135" s="26" t="s">
        <v>49</v>
      </c>
      <c r="C1135" s="61" t="s">
        <v>59</v>
      </c>
      <c r="D1135" s="130" t="s">
        <v>173</v>
      </c>
      <c r="E1135" s="334">
        <f>E1112</f>
        <v>4.57</v>
      </c>
    </row>
    <row r="1136" spans="1:5" ht="33" hidden="1">
      <c r="A1136" s="329" t="s">
        <v>50</v>
      </c>
      <c r="B1136" s="39" t="s">
        <v>51</v>
      </c>
      <c r="C1136" s="30" t="s">
        <v>59</v>
      </c>
      <c r="D1136" s="62" t="s">
        <v>278</v>
      </c>
      <c r="E1136" s="346">
        <f>E1113</f>
        <v>14.052187062890273</v>
      </c>
    </row>
    <row r="1137" spans="1:5" ht="15" hidden="1">
      <c r="A1137" s="257" t="s">
        <v>52</v>
      </c>
      <c r="B1137" s="63" t="s">
        <v>53</v>
      </c>
      <c r="C1137" s="37"/>
      <c r="D1137" s="37"/>
      <c r="E1137" s="331"/>
    </row>
    <row r="1138" spans="1:5" ht="15" hidden="1">
      <c r="A1138" s="257" t="s">
        <v>54</v>
      </c>
      <c r="B1138" s="26" t="s">
        <v>55</v>
      </c>
      <c r="C1138" s="13" t="s">
        <v>56</v>
      </c>
      <c r="D1138" s="26"/>
      <c r="E1138" s="258">
        <v>33.34</v>
      </c>
    </row>
    <row r="1139" spans="1:5" ht="15" hidden="1">
      <c r="A1139" s="257" t="s">
        <v>57</v>
      </c>
      <c r="B1139" s="26" t="s">
        <v>58</v>
      </c>
      <c r="C1139" s="13" t="s">
        <v>59</v>
      </c>
      <c r="D1139" s="64" t="s">
        <v>47</v>
      </c>
      <c r="E1139" s="334">
        <f>E1136</f>
        <v>14.052187062890273</v>
      </c>
    </row>
    <row r="1140" spans="1:5" ht="15" hidden="1">
      <c r="A1140" s="324" t="s">
        <v>60</v>
      </c>
      <c r="B1140" s="459" t="s">
        <v>61</v>
      </c>
      <c r="C1140" s="460"/>
      <c r="D1140" s="460"/>
      <c r="E1140" s="461"/>
    </row>
    <row r="1141" spans="1:5" ht="17.25" hidden="1">
      <c r="A1141" s="14" t="s">
        <v>62</v>
      </c>
      <c r="B1141" s="18" t="s">
        <v>182</v>
      </c>
      <c r="C1141" s="11" t="s">
        <v>59</v>
      </c>
      <c r="D1141" s="149" t="s">
        <v>180</v>
      </c>
      <c r="E1141" s="327">
        <f>E1142+E1143</f>
        <v>6.435761551471425</v>
      </c>
    </row>
    <row r="1142" spans="1:5" ht="18.75" hidden="1">
      <c r="A1142" s="15" t="s">
        <v>63</v>
      </c>
      <c r="B1142" s="16" t="s">
        <v>64</v>
      </c>
      <c r="C1142" s="13" t="s">
        <v>59</v>
      </c>
      <c r="D1142" s="130" t="s">
        <v>174</v>
      </c>
      <c r="E1142" s="258">
        <v>2.44</v>
      </c>
    </row>
    <row r="1143" spans="1:5" ht="18.75" hidden="1">
      <c r="A1143" s="15" t="s">
        <v>65</v>
      </c>
      <c r="B1143" s="17" t="s">
        <v>66</v>
      </c>
      <c r="C1143" s="22"/>
      <c r="D1143" s="361" t="s">
        <v>279</v>
      </c>
      <c r="E1143" s="334">
        <f>0.41+(7.24*E1111/37.6)</f>
        <v>3.9957615514714253</v>
      </c>
    </row>
    <row r="1144" spans="1:5" ht="15" hidden="1">
      <c r="A1144" s="14" t="s">
        <v>67</v>
      </c>
      <c r="B1144" s="18" t="s">
        <v>68</v>
      </c>
      <c r="C1144" s="11"/>
      <c r="D1144" s="26"/>
      <c r="E1144" s="258"/>
    </row>
    <row r="1145" spans="1:5" ht="15" hidden="1">
      <c r="A1145" s="14" t="s">
        <v>69</v>
      </c>
      <c r="B1145" s="19" t="s">
        <v>55</v>
      </c>
      <c r="C1145" s="12" t="s">
        <v>56</v>
      </c>
      <c r="D1145" s="26"/>
      <c r="E1145" s="334">
        <v>16.1</v>
      </c>
    </row>
    <row r="1146" spans="1:5" ht="18.75" hidden="1">
      <c r="A1146" s="14" t="s">
        <v>70</v>
      </c>
      <c r="B1146" s="19" t="s">
        <v>71</v>
      </c>
      <c r="C1146" s="13" t="s">
        <v>59</v>
      </c>
      <c r="D1146" s="130" t="s">
        <v>176</v>
      </c>
      <c r="E1146" s="334">
        <f>E1143</f>
        <v>3.9957615514714253</v>
      </c>
    </row>
    <row r="1147" spans="1:5" ht="15" hidden="1">
      <c r="A1147" s="347" t="s">
        <v>72</v>
      </c>
      <c r="B1147" s="454" t="s">
        <v>73</v>
      </c>
      <c r="C1147" s="455"/>
      <c r="D1147" s="455"/>
      <c r="E1147" s="456"/>
    </row>
    <row r="1148" spans="1:5" ht="15" hidden="1">
      <c r="A1148" s="457" t="s">
        <v>79</v>
      </c>
      <c r="B1148" s="20" t="s">
        <v>74</v>
      </c>
      <c r="C1148" s="13" t="s">
        <v>59</v>
      </c>
      <c r="D1148" s="132" t="s">
        <v>106</v>
      </c>
      <c r="E1148" s="264">
        <v>0.31</v>
      </c>
    </row>
    <row r="1149" spans="1:5" ht="15" hidden="1">
      <c r="A1149" s="458"/>
      <c r="B1149" s="21" t="s">
        <v>75</v>
      </c>
      <c r="C1149" s="61" t="s">
        <v>76</v>
      </c>
      <c r="D1149" s="132" t="s">
        <v>106</v>
      </c>
      <c r="E1149" s="264">
        <v>2.34</v>
      </c>
    </row>
    <row r="1150" spans="1:5" ht="15.75" hidden="1" thickBot="1">
      <c r="A1150" s="458"/>
      <c r="B1150" s="21" t="s">
        <v>77</v>
      </c>
      <c r="C1150" s="131" t="s">
        <v>78</v>
      </c>
      <c r="D1150" s="132" t="s">
        <v>106</v>
      </c>
      <c r="E1150" s="264">
        <v>46.34</v>
      </c>
    </row>
    <row r="1151" spans="1:5" ht="15" hidden="1">
      <c r="A1151" s="347" t="s">
        <v>80</v>
      </c>
      <c r="B1151" s="135" t="s">
        <v>81</v>
      </c>
      <c r="C1151" s="13" t="s">
        <v>59</v>
      </c>
      <c r="D1151" s="70"/>
      <c r="E1151" s="264">
        <v>-0.07</v>
      </c>
    </row>
    <row r="1152" spans="1:5" ht="15" hidden="1">
      <c r="A1152" s="347" t="s">
        <v>82</v>
      </c>
      <c r="B1152" s="135" t="s">
        <v>83</v>
      </c>
      <c r="C1152" s="13" t="s">
        <v>59</v>
      </c>
      <c r="D1152" s="70"/>
      <c r="E1152" s="264">
        <v>-0.14</v>
      </c>
    </row>
    <row r="1153" spans="1:5" ht="15" hidden="1">
      <c r="A1153" s="347" t="s">
        <v>84</v>
      </c>
      <c r="B1153" s="135" t="s">
        <v>267</v>
      </c>
      <c r="C1153" s="13" t="s">
        <v>59</v>
      </c>
      <c r="D1153" s="70"/>
      <c r="E1153" s="272">
        <f>E1134+E1141+E1148+E1151+E1152</f>
        <v>25.157948614361697</v>
      </c>
    </row>
    <row r="1154" spans="1:5" ht="15" hidden="1">
      <c r="A1154" s="347" t="s">
        <v>85</v>
      </c>
      <c r="B1154" s="135" t="s">
        <v>86</v>
      </c>
      <c r="C1154" s="13" t="s">
        <v>59</v>
      </c>
      <c r="D1154" s="70"/>
      <c r="E1154" s="264">
        <v>0</v>
      </c>
    </row>
    <row r="1155" spans="1:5" ht="15" hidden="1">
      <c r="A1155" s="347" t="s">
        <v>87</v>
      </c>
      <c r="B1155" s="135" t="s">
        <v>88</v>
      </c>
      <c r="C1155" s="11" t="s">
        <v>59</v>
      </c>
      <c r="D1155" s="137"/>
      <c r="E1155" s="272">
        <f>E1153</f>
        <v>25.157948614361697</v>
      </c>
    </row>
    <row r="1156" spans="1:5" ht="15" hidden="1">
      <c r="A1156" s="347" t="s">
        <v>89</v>
      </c>
      <c r="B1156" s="135" t="s">
        <v>90</v>
      </c>
      <c r="C1156" s="11" t="s">
        <v>59</v>
      </c>
      <c r="D1156" s="137"/>
      <c r="E1156" s="273">
        <f>E1155*1.09</f>
        <v>27.42216398965425</v>
      </c>
    </row>
    <row r="1157" spans="1:5" ht="15" hidden="1">
      <c r="A1157" s="347" t="s">
        <v>91</v>
      </c>
      <c r="B1157" s="135" t="s">
        <v>92</v>
      </c>
      <c r="C1157" s="11" t="s">
        <v>59</v>
      </c>
      <c r="D1157" s="137"/>
      <c r="E1157" s="273">
        <f>E1064</f>
        <v>25.202317337765958</v>
      </c>
    </row>
    <row r="1158" spans="1:5" ht="15" hidden="1">
      <c r="A1158" s="347" t="s">
        <v>93</v>
      </c>
      <c r="B1158" s="135" t="s">
        <v>94</v>
      </c>
      <c r="C1158" s="134" t="s">
        <v>95</v>
      </c>
      <c r="D1158" s="137"/>
      <c r="E1158" s="273">
        <f>(E1153/E1157)*100-100</f>
        <v>-0.17605017352025243</v>
      </c>
    </row>
    <row r="1159" spans="1:5" ht="15" hidden="1">
      <c r="A1159" s="347" t="s">
        <v>96</v>
      </c>
      <c r="B1159" s="136" t="s">
        <v>97</v>
      </c>
      <c r="C1159" s="138" t="s">
        <v>98</v>
      </c>
      <c r="D1159" s="139"/>
      <c r="E1159" s="362">
        <v>0.984</v>
      </c>
    </row>
    <row r="1160" spans="1:5" ht="15" hidden="1">
      <c r="A1160" s="347" t="s">
        <v>99</v>
      </c>
      <c r="B1160" s="136" t="s">
        <v>100</v>
      </c>
      <c r="C1160" s="133" t="s">
        <v>98</v>
      </c>
      <c r="D1160" s="70"/>
      <c r="E1160" s="362">
        <v>0.747</v>
      </c>
    </row>
    <row r="1161" spans="1:5" ht="15.75" hidden="1" thickBot="1">
      <c r="A1161" s="24" t="s">
        <v>101</v>
      </c>
      <c r="B1161" s="25" t="s">
        <v>102</v>
      </c>
      <c r="C1161" s="349" t="s">
        <v>98</v>
      </c>
      <c r="D1161" s="350"/>
      <c r="E1161" s="351">
        <v>0</v>
      </c>
    </row>
    <row r="1162" ht="15" hidden="1"/>
    <row r="1163" ht="15" hidden="1"/>
    <row r="1164" ht="15" hidden="1"/>
    <row r="1165" ht="15" hidden="1">
      <c r="B1165" s="323"/>
    </row>
    <row r="1166" spans="1:5" ht="15" hidden="1">
      <c r="A1166" s="315"/>
      <c r="B1166" s="315"/>
      <c r="C1166" s="315"/>
      <c r="D1166" s="315"/>
      <c r="E1166" s="315"/>
    </row>
    <row r="1167" spans="1:5" ht="15" hidden="1">
      <c r="A1167" s="315"/>
      <c r="B1167" s="315"/>
      <c r="C1167" s="315"/>
      <c r="D1167" s="315"/>
      <c r="E1167" s="315"/>
    </row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spans="2:4" ht="15" hidden="1">
      <c r="B1179" t="s">
        <v>189</v>
      </c>
      <c r="C1179" t="s">
        <v>193</v>
      </c>
      <c r="D1179" s="155" t="s">
        <v>190</v>
      </c>
    </row>
    <row r="1180" ht="15" hidden="1">
      <c r="C1180" s="162" t="s">
        <v>194</v>
      </c>
    </row>
    <row r="1181" ht="15" hidden="1"/>
    <row r="1182" ht="15" hidden="1"/>
    <row r="1183" ht="15" hidden="1"/>
    <row r="1184" spans="1:5" ht="15" hidden="1">
      <c r="A1184" s="140" t="s">
        <v>0</v>
      </c>
      <c r="B1184" s="140"/>
      <c r="C1184" s="140"/>
      <c r="D1184" s="140"/>
      <c r="E1184" s="140" t="s">
        <v>107</v>
      </c>
    </row>
    <row r="1185" spans="1:5" ht="15" hidden="1">
      <c r="A1185" s="140" t="s">
        <v>1</v>
      </c>
      <c r="B1185" s="140"/>
      <c r="C1185" s="140"/>
      <c r="D1185" s="140" t="s">
        <v>178</v>
      </c>
      <c r="E1185" s="3"/>
    </row>
    <row r="1186" spans="1:5" ht="15" hidden="1">
      <c r="A1186" s="140" t="s">
        <v>2</v>
      </c>
      <c r="B1186" s="140"/>
      <c r="C1186" s="140"/>
      <c r="D1186" s="140" t="s">
        <v>167</v>
      </c>
      <c r="E1186" s="5"/>
    </row>
    <row r="1187" spans="1:5" ht="15" hidden="1">
      <c r="A1187" s="140" t="s">
        <v>3</v>
      </c>
      <c r="B1187" s="140"/>
      <c r="C1187" s="140"/>
      <c r="D1187" s="140" t="s">
        <v>168</v>
      </c>
      <c r="E1187" s="3"/>
    </row>
    <row r="1188" spans="1:5" ht="15" hidden="1">
      <c r="A1188" s="140" t="s">
        <v>4</v>
      </c>
      <c r="B1188" s="140"/>
      <c r="C1188" s="140"/>
      <c r="D1188" s="140" t="s">
        <v>169</v>
      </c>
      <c r="E1188" s="3"/>
    </row>
    <row r="1189" spans="1:5" ht="15" hidden="1">
      <c r="A1189" s="161" t="s">
        <v>192</v>
      </c>
      <c r="B1189" s="140"/>
      <c r="C1189" s="140"/>
      <c r="D1189" s="140"/>
      <c r="E1189" s="3"/>
    </row>
    <row r="1190" spans="1:5" ht="15" hidden="1">
      <c r="A1190" s="140" t="s">
        <v>5</v>
      </c>
      <c r="B1190" s="140"/>
      <c r="C1190" s="140"/>
      <c r="D1190" s="140" t="s">
        <v>170</v>
      </c>
      <c r="E1190" s="3"/>
    </row>
    <row r="1191" spans="1:5" ht="15" hidden="1">
      <c r="A1191" s="1"/>
      <c r="B1191" s="1"/>
      <c r="C1191" s="1"/>
      <c r="D1191" s="1"/>
      <c r="E1191" s="1"/>
    </row>
    <row r="1192" spans="1:4" ht="15.75" hidden="1">
      <c r="A1192" s="150"/>
      <c r="B1192" s="150" t="s">
        <v>289</v>
      </c>
      <c r="C1192" s="2"/>
      <c r="D1192" s="2"/>
    </row>
    <row r="1193" spans="1:4" ht="15.75" hidden="1">
      <c r="A1193" s="150"/>
      <c r="B1193" s="150"/>
      <c r="C1193" s="363">
        <v>41872</v>
      </c>
      <c r="D1193" s="2"/>
    </row>
    <row r="1194" spans="1:4" ht="15.75" hidden="1">
      <c r="A1194" s="150"/>
      <c r="B1194" s="150"/>
      <c r="C1194" s="160" t="s">
        <v>191</v>
      </c>
      <c r="D1194" s="2"/>
    </row>
    <row r="1195" spans="1:5" ht="15" hidden="1">
      <c r="A1195" s="2" t="s">
        <v>6</v>
      </c>
      <c r="B1195" s="2"/>
      <c r="C1195" s="2"/>
      <c r="D1195" s="2"/>
      <c r="E1195" s="2"/>
    </row>
    <row r="1196" spans="1:5" ht="15" hidden="1">
      <c r="A1196" s="1" t="s">
        <v>260</v>
      </c>
      <c r="B1196" s="1"/>
      <c r="C1196" s="1"/>
      <c r="D1196" s="1"/>
      <c r="E1196" s="1"/>
    </row>
    <row r="1197" spans="1:5" ht="15" hidden="1">
      <c r="A1197" s="1" t="s">
        <v>7</v>
      </c>
      <c r="B1197" s="1"/>
      <c r="C1197" s="1"/>
      <c r="D1197" s="1"/>
      <c r="E1197" s="1"/>
    </row>
    <row r="1198" spans="1:5" ht="15.75" hidden="1" thickBot="1">
      <c r="A1198" s="359" t="s">
        <v>281</v>
      </c>
      <c r="B1198" s="359"/>
      <c r="C1198" s="359"/>
      <c r="D1198" s="359"/>
      <c r="E1198" s="360"/>
    </row>
    <row r="1199" spans="1:5" ht="15" hidden="1">
      <c r="A1199" s="253" t="s">
        <v>8</v>
      </c>
      <c r="B1199" s="254" t="s">
        <v>9</v>
      </c>
      <c r="C1199" s="254" t="s">
        <v>10</v>
      </c>
      <c r="D1199" s="254" t="s">
        <v>11</v>
      </c>
      <c r="E1199" s="256" t="s">
        <v>12</v>
      </c>
    </row>
    <row r="1200" spans="1:5" ht="15" hidden="1">
      <c r="A1200" s="257">
        <v>1</v>
      </c>
      <c r="B1200" s="26">
        <v>2</v>
      </c>
      <c r="C1200" s="26">
        <v>3</v>
      </c>
      <c r="D1200" s="26">
        <v>4</v>
      </c>
      <c r="E1200" s="258">
        <v>5</v>
      </c>
    </row>
    <row r="1201" spans="1:5" ht="15" hidden="1">
      <c r="A1201" s="413" t="s">
        <v>13</v>
      </c>
      <c r="B1201" s="414" t="s">
        <v>14</v>
      </c>
      <c r="C1201" s="28"/>
      <c r="D1201" s="28"/>
      <c r="E1201" s="325"/>
    </row>
    <row r="1202" spans="1:5" ht="17.25" hidden="1">
      <c r="A1202" s="417" t="s">
        <v>15</v>
      </c>
      <c r="B1202" s="423" t="s">
        <v>183</v>
      </c>
      <c r="C1202" s="402" t="s">
        <v>59</v>
      </c>
      <c r="D1202" s="326" t="s">
        <v>179</v>
      </c>
      <c r="E1202" s="327">
        <f>E1204+E1206</f>
        <v>18.88637254237288</v>
      </c>
    </row>
    <row r="1203" spans="1:10" s="369" customFormat="1" ht="15.75" hidden="1">
      <c r="A1203" s="418"/>
      <c r="B1203" s="424"/>
      <c r="C1203" s="412" t="s">
        <v>292</v>
      </c>
      <c r="D1203" s="368"/>
      <c r="E1203" s="377">
        <f>E1202/3.4528</f>
        <v>5.469871565793814</v>
      </c>
      <c r="F1203" s="239"/>
      <c r="G1203" s="239"/>
      <c r="H1203" s="239"/>
      <c r="I1203" s="239"/>
      <c r="J1203" s="239"/>
    </row>
    <row r="1204" spans="1:5" ht="18.75" hidden="1">
      <c r="A1204" s="419" t="s">
        <v>16</v>
      </c>
      <c r="B1204" s="42" t="s">
        <v>18</v>
      </c>
      <c r="C1204" s="388" t="s">
        <v>59</v>
      </c>
      <c r="D1204" s="370" t="s">
        <v>171</v>
      </c>
      <c r="E1204" s="371">
        <v>4.57</v>
      </c>
    </row>
    <row r="1205" spans="1:5" ht="15.75" hidden="1">
      <c r="A1205" s="420"/>
      <c r="B1205" s="425"/>
      <c r="C1205" s="384" t="s">
        <v>292</v>
      </c>
      <c r="D1205" s="373"/>
      <c r="E1205" s="378">
        <f>E1204/3.4528</f>
        <v>1.323563484708063</v>
      </c>
    </row>
    <row r="1206" spans="1:5" ht="33" hidden="1">
      <c r="A1206" s="421" t="s">
        <v>17</v>
      </c>
      <c r="B1206" s="426" t="s">
        <v>19</v>
      </c>
      <c r="C1206" s="366" t="s">
        <v>59</v>
      </c>
      <c r="D1206" s="375" t="s">
        <v>278</v>
      </c>
      <c r="E1206" s="367">
        <f>0.29+((4325*E1212+226*E1220+106.1*E1216+509*E1224)/(44.84*1000))/10</f>
        <v>14.316372542372878</v>
      </c>
    </row>
    <row r="1207" spans="1:5" ht="15" hidden="1">
      <c r="A1207" s="422"/>
      <c r="B1207" s="427"/>
      <c r="C1207" s="384" t="s">
        <v>292</v>
      </c>
      <c r="D1207" s="376"/>
      <c r="E1207" s="379">
        <f>E1206/3.4528</f>
        <v>4.14630808108575</v>
      </c>
    </row>
    <row r="1208" spans="1:5" ht="15" hidden="1">
      <c r="A1208" s="415" t="s">
        <v>21</v>
      </c>
      <c r="B1208" s="416" t="s">
        <v>22</v>
      </c>
      <c r="C1208" s="34"/>
      <c r="D1208" s="374"/>
      <c r="E1208" s="331"/>
    </row>
    <row r="1209" spans="1:5" ht="15" hidden="1">
      <c r="A1209" s="332" t="s">
        <v>23</v>
      </c>
      <c r="B1209" s="54" t="s">
        <v>24</v>
      </c>
      <c r="C1209" s="55"/>
      <c r="D1209" s="55"/>
      <c r="E1209" s="333"/>
    </row>
    <row r="1210" spans="1:5" ht="15" hidden="1">
      <c r="A1210" s="328" t="s">
        <v>25</v>
      </c>
      <c r="B1210" s="26" t="s">
        <v>26</v>
      </c>
      <c r="C1210" s="36" t="s">
        <v>41</v>
      </c>
      <c r="D1210" s="26"/>
      <c r="E1210" s="334">
        <v>1013.72</v>
      </c>
    </row>
    <row r="1211" spans="1:5" ht="15" hidden="1">
      <c r="A1211" s="328" t="s">
        <v>27</v>
      </c>
      <c r="B1211" s="26" t="s">
        <v>28</v>
      </c>
      <c r="C1211" s="7" t="s">
        <v>41</v>
      </c>
      <c r="D1211" s="26"/>
      <c r="E1211" s="258">
        <v>313.23</v>
      </c>
    </row>
    <row r="1212" spans="1:5" ht="15" hidden="1">
      <c r="A1212" s="328" t="s">
        <v>29</v>
      </c>
      <c r="B1212" s="42" t="s">
        <v>30</v>
      </c>
      <c r="C1212" s="43" t="s">
        <v>41</v>
      </c>
      <c r="D1212" s="26"/>
      <c r="E1212" s="335">
        <f>E1210+E1211</f>
        <v>1326.95</v>
      </c>
    </row>
    <row r="1213" spans="1:5" ht="15" hidden="1">
      <c r="A1213" s="336" t="s">
        <v>31</v>
      </c>
      <c r="B1213" s="45" t="s">
        <v>265</v>
      </c>
      <c r="C1213" s="46"/>
      <c r="D1213" s="46"/>
      <c r="E1213" s="337"/>
    </row>
    <row r="1214" spans="1:5" ht="15" hidden="1">
      <c r="A1214" s="328" t="s">
        <v>35</v>
      </c>
      <c r="B1214" s="26" t="s">
        <v>26</v>
      </c>
      <c r="C1214" s="44" t="s">
        <v>33</v>
      </c>
      <c r="D1214" s="26"/>
      <c r="E1214" s="334"/>
    </row>
    <row r="1215" spans="1:5" ht="15" hidden="1">
      <c r="A1215" s="328" t="s">
        <v>36</v>
      </c>
      <c r="B1215" s="26" t="s">
        <v>28</v>
      </c>
      <c r="C1215" s="6" t="s">
        <v>33</v>
      </c>
      <c r="D1215" s="26"/>
      <c r="E1215" s="334"/>
    </row>
    <row r="1216" spans="1:5" ht="15" hidden="1">
      <c r="A1216" s="328" t="s">
        <v>37</v>
      </c>
      <c r="B1216" s="26" t="s">
        <v>30</v>
      </c>
      <c r="C1216" s="48" t="s">
        <v>33</v>
      </c>
      <c r="D1216" s="26"/>
      <c r="E1216" s="335">
        <v>408.98</v>
      </c>
    </row>
    <row r="1217" spans="1:5" ht="15" hidden="1">
      <c r="A1217" s="336" t="s">
        <v>31</v>
      </c>
      <c r="B1217" s="45" t="s">
        <v>266</v>
      </c>
      <c r="C1217" s="46"/>
      <c r="D1217" s="46"/>
      <c r="E1217" s="337"/>
    </row>
    <row r="1218" spans="1:5" ht="15" hidden="1">
      <c r="A1218" s="328" t="s">
        <v>35</v>
      </c>
      <c r="B1218" s="26" t="s">
        <v>26</v>
      </c>
      <c r="C1218" s="44" t="s">
        <v>33</v>
      </c>
      <c r="D1218" s="26"/>
      <c r="E1218" s="334"/>
    </row>
    <row r="1219" spans="1:5" ht="15" hidden="1">
      <c r="A1219" s="328" t="s">
        <v>36</v>
      </c>
      <c r="B1219" s="26" t="s">
        <v>28</v>
      </c>
      <c r="C1219" s="6" t="s">
        <v>33</v>
      </c>
      <c r="D1219" s="26"/>
      <c r="E1219" s="334"/>
    </row>
    <row r="1220" spans="1:5" ht="15" hidden="1">
      <c r="A1220" s="328" t="s">
        <v>37</v>
      </c>
      <c r="B1220" s="26" t="s">
        <v>30</v>
      </c>
      <c r="C1220" s="48" t="s">
        <v>33</v>
      </c>
      <c r="D1220" s="26"/>
      <c r="E1220" s="335">
        <v>571.25</v>
      </c>
    </row>
    <row r="1221" spans="1:5" ht="15" hidden="1">
      <c r="A1221" s="338" t="s">
        <v>34</v>
      </c>
      <c r="B1221" s="50" t="s">
        <v>103</v>
      </c>
      <c r="C1221" s="51"/>
      <c r="D1221" s="51"/>
      <c r="E1221" s="339"/>
    </row>
    <row r="1222" spans="1:5" ht="15" hidden="1">
      <c r="A1222" s="340" t="s">
        <v>38</v>
      </c>
      <c r="B1222" s="49" t="s">
        <v>26</v>
      </c>
      <c r="C1222" s="44" t="s">
        <v>33</v>
      </c>
      <c r="D1222" s="26"/>
      <c r="E1222" s="334">
        <f>Lapas3!D1090</f>
        <v>0</v>
      </c>
    </row>
    <row r="1223" spans="1:5" ht="15" hidden="1">
      <c r="A1223" s="340" t="s">
        <v>39</v>
      </c>
      <c r="B1223" s="26" t="s">
        <v>28</v>
      </c>
      <c r="C1223" s="6" t="s">
        <v>33</v>
      </c>
      <c r="D1223" s="26"/>
      <c r="E1223" s="258"/>
    </row>
    <row r="1224" spans="1:5" ht="15" hidden="1">
      <c r="A1224" s="23" t="s">
        <v>40</v>
      </c>
      <c r="B1224" s="42" t="s">
        <v>30</v>
      </c>
      <c r="C1224" s="48" t="s">
        <v>33</v>
      </c>
      <c r="D1224" s="26"/>
      <c r="E1224" s="335">
        <v>742.38</v>
      </c>
    </row>
    <row r="1225" spans="1:5" ht="15" hidden="1">
      <c r="A1225" s="341" t="s">
        <v>42</v>
      </c>
      <c r="B1225" s="58" t="s">
        <v>43</v>
      </c>
      <c r="C1225" s="59"/>
      <c r="D1225" s="59"/>
      <c r="E1225" s="342"/>
    </row>
    <row r="1226" spans="1:5" ht="15" hidden="1">
      <c r="A1226" s="257" t="s">
        <v>44</v>
      </c>
      <c r="B1226" s="26" t="s">
        <v>104</v>
      </c>
      <c r="C1226" s="26"/>
      <c r="D1226" s="26"/>
      <c r="E1226" s="343" t="s">
        <v>106</v>
      </c>
    </row>
    <row r="1227" spans="1:5" ht="15" hidden="1">
      <c r="A1227" s="257" t="s">
        <v>45</v>
      </c>
      <c r="B1227" s="26" t="s">
        <v>105</v>
      </c>
      <c r="C1227" s="13" t="s">
        <v>59</v>
      </c>
      <c r="D1227" s="26"/>
      <c r="E1227" s="258">
        <v>0</v>
      </c>
    </row>
    <row r="1228" spans="1:5" ht="17.25" hidden="1">
      <c r="A1228" s="344" t="s">
        <v>46</v>
      </c>
      <c r="B1228" s="144" t="s">
        <v>172</v>
      </c>
      <c r="C1228" s="148" t="s">
        <v>59</v>
      </c>
      <c r="D1228" s="149" t="s">
        <v>181</v>
      </c>
      <c r="E1228" s="352">
        <f>E1229+E1230</f>
        <v>18.88637254237288</v>
      </c>
    </row>
    <row r="1229" spans="1:5" ht="18.75" hidden="1">
      <c r="A1229" s="257" t="s">
        <v>48</v>
      </c>
      <c r="B1229" s="26" t="s">
        <v>49</v>
      </c>
      <c r="C1229" s="61" t="s">
        <v>59</v>
      </c>
      <c r="D1229" s="130" t="s">
        <v>173</v>
      </c>
      <c r="E1229" s="334">
        <f>E1204</f>
        <v>4.57</v>
      </c>
    </row>
    <row r="1230" spans="1:5" ht="33" hidden="1">
      <c r="A1230" s="329" t="s">
        <v>50</v>
      </c>
      <c r="B1230" s="39" t="s">
        <v>51</v>
      </c>
      <c r="C1230" s="30" t="s">
        <v>59</v>
      </c>
      <c r="D1230" s="62" t="s">
        <v>278</v>
      </c>
      <c r="E1230" s="346">
        <f>E1206</f>
        <v>14.316372542372878</v>
      </c>
    </row>
    <row r="1231" spans="1:5" ht="15" hidden="1">
      <c r="A1231" s="257" t="s">
        <v>52</v>
      </c>
      <c r="B1231" s="63" t="s">
        <v>53</v>
      </c>
      <c r="C1231" s="37"/>
      <c r="D1231" s="37"/>
      <c r="E1231" s="331"/>
    </row>
    <row r="1232" spans="1:5" ht="15" hidden="1">
      <c r="A1232" s="257" t="s">
        <v>54</v>
      </c>
      <c r="B1232" s="26" t="s">
        <v>55</v>
      </c>
      <c r="C1232" s="13" t="s">
        <v>56</v>
      </c>
      <c r="D1232" s="26"/>
      <c r="E1232" s="258">
        <v>33.34</v>
      </c>
    </row>
    <row r="1233" spans="1:5" ht="15" hidden="1">
      <c r="A1233" s="257" t="s">
        <v>57</v>
      </c>
      <c r="B1233" s="26" t="s">
        <v>58</v>
      </c>
      <c r="C1233" s="13" t="s">
        <v>59</v>
      </c>
      <c r="D1233" s="64" t="s">
        <v>47</v>
      </c>
      <c r="E1233" s="334">
        <f>E1230</f>
        <v>14.316372542372878</v>
      </c>
    </row>
    <row r="1234" spans="1:5" ht="15" hidden="1">
      <c r="A1234" s="324" t="s">
        <v>60</v>
      </c>
      <c r="B1234" s="459" t="s">
        <v>61</v>
      </c>
      <c r="C1234" s="460"/>
      <c r="D1234" s="460"/>
      <c r="E1234" s="461"/>
    </row>
    <row r="1235" spans="1:5" ht="17.25" hidden="1">
      <c r="A1235" s="395" t="s">
        <v>62</v>
      </c>
      <c r="B1235" s="385" t="s">
        <v>182</v>
      </c>
      <c r="C1235" s="386" t="s">
        <v>59</v>
      </c>
      <c r="D1235" s="381" t="s">
        <v>180</v>
      </c>
      <c r="E1235" s="380">
        <f>E1237+E1239</f>
        <v>6.4866313086909475</v>
      </c>
    </row>
    <row r="1236" spans="1:5" ht="15.75" hidden="1">
      <c r="A1236" s="387"/>
      <c r="B1236" s="396"/>
      <c r="C1236" s="384" t="s">
        <v>292</v>
      </c>
      <c r="D1236" s="383"/>
      <c r="E1236" s="377">
        <f>E1235/3.4528</f>
        <v>1.8786582798572022</v>
      </c>
    </row>
    <row r="1237" spans="1:5" ht="18.75" hidden="1">
      <c r="A1237" s="391" t="s">
        <v>63</v>
      </c>
      <c r="B1237" s="397" t="s">
        <v>64</v>
      </c>
      <c r="C1237" s="388" t="s">
        <v>59</v>
      </c>
      <c r="D1237" s="370" t="s">
        <v>174</v>
      </c>
      <c r="E1237" s="331">
        <v>2.44</v>
      </c>
    </row>
    <row r="1238" spans="1:5" ht="15.75" hidden="1">
      <c r="A1238" s="392"/>
      <c r="B1238" s="398"/>
      <c r="C1238" s="384" t="s">
        <v>292</v>
      </c>
      <c r="D1238" s="372"/>
      <c r="E1238" s="377">
        <f>E1237/3.4528</f>
        <v>0.7066728452270621</v>
      </c>
    </row>
    <row r="1239" spans="1:5" ht="18.75" hidden="1">
      <c r="A1239" s="391" t="s">
        <v>65</v>
      </c>
      <c r="B1239" s="399" t="s">
        <v>66</v>
      </c>
      <c r="C1239" s="388" t="s">
        <v>59</v>
      </c>
      <c r="D1239" s="393" t="s">
        <v>279</v>
      </c>
      <c r="E1239" s="382">
        <f>0.41+(7.24*E1202/37.6)</f>
        <v>4.046631308690948</v>
      </c>
    </row>
    <row r="1240" spans="1:5" ht="15.75" hidden="1">
      <c r="A1240" s="392"/>
      <c r="B1240" s="400"/>
      <c r="C1240" s="384" t="s">
        <v>292</v>
      </c>
      <c r="D1240" s="394"/>
      <c r="E1240" s="377">
        <f>E1239/3.4528</f>
        <v>1.1719854346301402</v>
      </c>
    </row>
    <row r="1241" spans="1:5" ht="15" hidden="1">
      <c r="A1241" s="389" t="s">
        <v>67</v>
      </c>
      <c r="B1241" s="390" t="s">
        <v>68</v>
      </c>
      <c r="C1241" s="11"/>
      <c r="D1241" s="49"/>
      <c r="E1241" s="258"/>
    </row>
    <row r="1242" spans="1:5" ht="15" hidden="1">
      <c r="A1242" s="14" t="s">
        <v>69</v>
      </c>
      <c r="B1242" s="19" t="s">
        <v>55</v>
      </c>
      <c r="C1242" s="12" t="s">
        <v>56</v>
      </c>
      <c r="D1242" s="26"/>
      <c r="E1242" s="334">
        <v>16.1</v>
      </c>
    </row>
    <row r="1243" spans="1:5" ht="18.75" hidden="1">
      <c r="A1243" s="14" t="s">
        <v>70</v>
      </c>
      <c r="B1243" s="19" t="s">
        <v>71</v>
      </c>
      <c r="C1243" s="13" t="s">
        <v>59</v>
      </c>
      <c r="D1243" s="130" t="s">
        <v>176</v>
      </c>
      <c r="E1243" s="334">
        <f>E1239</f>
        <v>4.046631308690948</v>
      </c>
    </row>
    <row r="1244" spans="1:5" ht="15" hidden="1">
      <c r="A1244" s="347" t="s">
        <v>72</v>
      </c>
      <c r="B1244" s="454" t="s">
        <v>73</v>
      </c>
      <c r="C1244" s="455"/>
      <c r="D1244" s="455"/>
      <c r="E1244" s="456"/>
    </row>
    <row r="1245" spans="1:5" ht="15" hidden="1">
      <c r="A1245" s="457" t="s">
        <v>79</v>
      </c>
      <c r="B1245" s="20" t="s">
        <v>74</v>
      </c>
      <c r="C1245" s="13" t="s">
        <v>59</v>
      </c>
      <c r="D1245" s="132" t="s">
        <v>106</v>
      </c>
      <c r="E1245" s="264">
        <v>0.31</v>
      </c>
    </row>
    <row r="1246" spans="1:5" ht="15" hidden="1">
      <c r="A1246" s="458"/>
      <c r="B1246" s="21" t="s">
        <v>75</v>
      </c>
      <c r="C1246" s="61" t="s">
        <v>76</v>
      </c>
      <c r="D1246" s="132" t="s">
        <v>106</v>
      </c>
      <c r="E1246" s="264">
        <v>2.34</v>
      </c>
    </row>
    <row r="1247" spans="1:5" ht="15.75" hidden="1" thickBot="1">
      <c r="A1247" s="458"/>
      <c r="B1247" s="21" t="s">
        <v>77</v>
      </c>
      <c r="C1247" s="131" t="s">
        <v>78</v>
      </c>
      <c r="D1247" s="132" t="s">
        <v>106</v>
      </c>
      <c r="E1247" s="264">
        <v>46.34</v>
      </c>
    </row>
    <row r="1248" spans="1:5" ht="15" hidden="1">
      <c r="A1248" s="347" t="s">
        <v>80</v>
      </c>
      <c r="B1248" s="135" t="s">
        <v>81</v>
      </c>
      <c r="C1248" s="13" t="s">
        <v>59</v>
      </c>
      <c r="D1248" s="70"/>
      <c r="E1248" s="264">
        <v>-0.07</v>
      </c>
    </row>
    <row r="1249" spans="1:5" ht="15" hidden="1">
      <c r="A1249" s="347" t="s">
        <v>82</v>
      </c>
      <c r="B1249" s="135" t="s">
        <v>83</v>
      </c>
      <c r="C1249" s="13" t="s">
        <v>59</v>
      </c>
      <c r="D1249" s="70"/>
      <c r="E1249" s="264">
        <v>-0.14</v>
      </c>
    </row>
    <row r="1250" spans="1:6" ht="15" hidden="1">
      <c r="A1250" s="408" t="s">
        <v>84</v>
      </c>
      <c r="B1250" s="403" t="s">
        <v>267</v>
      </c>
      <c r="C1250" s="401" t="s">
        <v>59</v>
      </c>
      <c r="D1250" s="70"/>
      <c r="E1250" s="272">
        <v>25.48</v>
      </c>
      <c r="F1250" s="281">
        <f>E1250/3.4528</f>
        <v>7.379518072289157</v>
      </c>
    </row>
    <row r="1251" spans="1:6" ht="15" hidden="1">
      <c r="A1251" s="406"/>
      <c r="B1251" s="405"/>
      <c r="C1251" s="384" t="s">
        <v>292</v>
      </c>
      <c r="D1251" s="70"/>
      <c r="E1251" s="411">
        <f>E1250/3.4528</f>
        <v>7.379518072289157</v>
      </c>
      <c r="F1251" s="281"/>
    </row>
    <row r="1252" spans="1:6" ht="15" hidden="1">
      <c r="A1252" s="407" t="s">
        <v>85</v>
      </c>
      <c r="B1252" s="135" t="s">
        <v>86</v>
      </c>
      <c r="C1252" s="401" t="s">
        <v>59</v>
      </c>
      <c r="D1252" s="70"/>
      <c r="E1252" s="264">
        <v>0</v>
      </c>
      <c r="F1252" s="281">
        <f>E1252/3.4528</f>
        <v>0</v>
      </c>
    </row>
    <row r="1253" spans="1:6" ht="15" hidden="1">
      <c r="A1253" s="408" t="s">
        <v>87</v>
      </c>
      <c r="B1253" s="403" t="s">
        <v>88</v>
      </c>
      <c r="C1253" s="402" t="s">
        <v>59</v>
      </c>
      <c r="D1253" s="137"/>
      <c r="E1253" s="272">
        <f>E1250</f>
        <v>25.48</v>
      </c>
      <c r="F1253" s="281">
        <f>E1253/3.4528</f>
        <v>7.379518072289157</v>
      </c>
    </row>
    <row r="1254" spans="1:6" ht="15" hidden="1">
      <c r="A1254" s="406"/>
      <c r="B1254" s="405"/>
      <c r="C1254" s="384" t="s">
        <v>292</v>
      </c>
      <c r="D1254" s="137"/>
      <c r="E1254" s="411">
        <f>E1253/3.4528</f>
        <v>7.379518072289157</v>
      </c>
      <c r="F1254" s="281"/>
    </row>
    <row r="1255" spans="1:6" ht="15" hidden="1">
      <c r="A1255" s="408" t="s">
        <v>89</v>
      </c>
      <c r="B1255" s="403" t="s">
        <v>90</v>
      </c>
      <c r="C1255" s="402" t="s">
        <v>59</v>
      </c>
      <c r="D1255" s="137"/>
      <c r="E1255" s="273">
        <f>E1253*1.09</f>
        <v>27.773200000000003</v>
      </c>
      <c r="F1255" s="281">
        <f>E1255/3.4528</f>
        <v>8.043674698795181</v>
      </c>
    </row>
    <row r="1256" spans="1:6" ht="15" hidden="1">
      <c r="A1256" s="409"/>
      <c r="B1256" s="410"/>
      <c r="C1256" s="384" t="s">
        <v>292</v>
      </c>
      <c r="D1256" s="137"/>
      <c r="E1256" s="411">
        <f>E1255/3.4528</f>
        <v>8.043674698795181</v>
      </c>
      <c r="F1256" s="281"/>
    </row>
    <row r="1257" spans="1:6" ht="15" hidden="1">
      <c r="A1257" s="408" t="s">
        <v>91</v>
      </c>
      <c r="B1257" s="403" t="s">
        <v>92</v>
      </c>
      <c r="C1257" s="402" t="s">
        <v>59</v>
      </c>
      <c r="D1257" s="137"/>
      <c r="E1257" s="273">
        <f>E1155</f>
        <v>25.157948614361697</v>
      </c>
      <c r="F1257" s="281">
        <f>E1257/3.4528</f>
        <v>7.28624554401115</v>
      </c>
    </row>
    <row r="1258" spans="1:6" ht="15" hidden="1">
      <c r="A1258" s="406"/>
      <c r="B1258" s="405"/>
      <c r="C1258" s="384" t="s">
        <v>292</v>
      </c>
      <c r="D1258" s="137"/>
      <c r="E1258" s="411">
        <f>E1257/3.4528</f>
        <v>7.28624554401115</v>
      </c>
      <c r="F1258" s="281"/>
    </row>
    <row r="1259" spans="1:5" ht="15" hidden="1">
      <c r="A1259" s="404" t="s">
        <v>93</v>
      </c>
      <c r="B1259" s="405" t="s">
        <v>94</v>
      </c>
      <c r="C1259" s="134" t="s">
        <v>95</v>
      </c>
      <c r="D1259" s="137"/>
      <c r="E1259" s="273">
        <f>(E1250/E1257)*100-100</f>
        <v>1.2801178290604156</v>
      </c>
    </row>
    <row r="1260" spans="1:5" ht="15" hidden="1">
      <c r="A1260" s="347" t="s">
        <v>96</v>
      </c>
      <c r="B1260" s="136" t="s">
        <v>97</v>
      </c>
      <c r="C1260" s="138" t="s">
        <v>98</v>
      </c>
      <c r="D1260" s="139"/>
      <c r="E1260" s="362">
        <v>0.982</v>
      </c>
    </row>
    <row r="1261" spans="1:5" ht="15" hidden="1">
      <c r="A1261" s="347" t="s">
        <v>99</v>
      </c>
      <c r="B1261" s="136" t="s">
        <v>100</v>
      </c>
      <c r="C1261" s="133" t="s">
        <v>98</v>
      </c>
      <c r="D1261" s="70"/>
      <c r="E1261" s="362">
        <v>0.682</v>
      </c>
    </row>
    <row r="1262" spans="1:5" ht="15.75" hidden="1" thickBot="1">
      <c r="A1262" s="24" t="s">
        <v>101</v>
      </c>
      <c r="B1262" s="25" t="s">
        <v>102</v>
      </c>
      <c r="C1262" s="349" t="s">
        <v>98</v>
      </c>
      <c r="D1262" s="350"/>
      <c r="E1262" s="351">
        <v>0</v>
      </c>
    </row>
    <row r="1263" ht="15" hidden="1"/>
    <row r="1264" ht="15" hidden="1"/>
    <row r="1265" spans="2:4" ht="15" hidden="1">
      <c r="B1265" s="364" t="s">
        <v>291</v>
      </c>
      <c r="C1265" s="365"/>
      <c r="D1265" s="365"/>
    </row>
    <row r="1266" ht="15" hidden="1"/>
    <row r="1267" ht="15" hidden="1"/>
    <row r="1268" ht="15" hidden="1"/>
    <row r="1269" ht="15" hidden="1"/>
    <row r="1270" ht="15" hidden="1"/>
    <row r="1271" spans="2:4" ht="15" hidden="1">
      <c r="B1271" t="s">
        <v>189</v>
      </c>
      <c r="C1271" t="s">
        <v>193</v>
      </c>
      <c r="D1271" s="155" t="s">
        <v>190</v>
      </c>
    </row>
    <row r="1272" ht="15" hidden="1">
      <c r="C1272" s="162" t="s">
        <v>194</v>
      </c>
    </row>
    <row r="1273" ht="15" hidden="1"/>
    <row r="1274" spans="1:5" ht="15" hidden="1">
      <c r="A1274" s="140" t="s">
        <v>0</v>
      </c>
      <c r="B1274" s="140"/>
      <c r="C1274" s="140"/>
      <c r="D1274" s="140"/>
      <c r="E1274" s="140" t="s">
        <v>107</v>
      </c>
    </row>
    <row r="1275" spans="1:5" ht="15" hidden="1">
      <c r="A1275" s="140" t="s">
        <v>1</v>
      </c>
      <c r="B1275" s="140"/>
      <c r="C1275" s="140"/>
      <c r="D1275" s="140" t="s">
        <v>178</v>
      </c>
      <c r="E1275" s="3"/>
    </row>
    <row r="1276" spans="1:5" ht="15" hidden="1">
      <c r="A1276" s="140" t="s">
        <v>2</v>
      </c>
      <c r="B1276" s="140"/>
      <c r="C1276" s="140"/>
      <c r="D1276" s="140" t="s">
        <v>167</v>
      </c>
      <c r="E1276" s="5"/>
    </row>
    <row r="1277" spans="1:5" ht="15" hidden="1">
      <c r="A1277" s="140" t="s">
        <v>3</v>
      </c>
      <c r="B1277" s="140"/>
      <c r="C1277" s="140"/>
      <c r="D1277" s="140" t="s">
        <v>168</v>
      </c>
      <c r="E1277" s="3"/>
    </row>
    <row r="1278" spans="1:5" ht="15" hidden="1">
      <c r="A1278" s="140" t="s">
        <v>4</v>
      </c>
      <c r="B1278" s="140"/>
      <c r="C1278" s="140"/>
      <c r="D1278" s="140" t="s">
        <v>169</v>
      </c>
      <c r="E1278" s="3"/>
    </row>
    <row r="1279" spans="1:5" ht="15" hidden="1">
      <c r="A1279" s="161" t="s">
        <v>192</v>
      </c>
      <c r="B1279" s="140"/>
      <c r="C1279" s="140"/>
      <c r="D1279" s="140"/>
      <c r="E1279" s="3"/>
    </row>
    <row r="1280" spans="1:5" ht="15" hidden="1">
      <c r="A1280" s="140" t="s">
        <v>5</v>
      </c>
      <c r="B1280" s="140"/>
      <c r="C1280" s="140"/>
      <c r="D1280" s="140" t="s">
        <v>170</v>
      </c>
      <c r="E1280" s="3"/>
    </row>
    <row r="1281" spans="1:5" ht="15" hidden="1">
      <c r="A1281" s="1"/>
      <c r="B1281" s="1"/>
      <c r="C1281" s="1"/>
      <c r="D1281" s="1"/>
      <c r="E1281" s="1"/>
    </row>
    <row r="1282" spans="1:4" ht="15.75" hidden="1">
      <c r="A1282" s="150" t="s">
        <v>296</v>
      </c>
      <c r="B1282" s="150" t="s">
        <v>294</v>
      </c>
      <c r="C1282" s="2"/>
      <c r="D1282" s="2"/>
    </row>
    <row r="1283" spans="1:4" ht="15.75" hidden="1">
      <c r="A1283" s="150"/>
      <c r="B1283" s="150"/>
      <c r="C1283" s="363">
        <v>41904</v>
      </c>
      <c r="D1283" s="2"/>
    </row>
    <row r="1284" spans="1:4" ht="15.75" hidden="1">
      <c r="A1284" s="150"/>
      <c r="B1284" s="150"/>
      <c r="C1284" s="160" t="s">
        <v>191</v>
      </c>
      <c r="D1284" s="2"/>
    </row>
    <row r="1285" spans="1:5" ht="15" hidden="1">
      <c r="A1285" s="2" t="s">
        <v>6</v>
      </c>
      <c r="B1285" s="2"/>
      <c r="C1285" s="2"/>
      <c r="D1285" s="2"/>
      <c r="E1285" s="2"/>
    </row>
    <row r="1286" spans="1:5" ht="15" hidden="1">
      <c r="A1286" s="1" t="s">
        <v>260</v>
      </c>
      <c r="B1286" s="1"/>
      <c r="C1286" s="1"/>
      <c r="D1286" s="1"/>
      <c r="E1286" s="1"/>
    </row>
    <row r="1287" spans="1:5" ht="15" hidden="1">
      <c r="A1287" s="1" t="s">
        <v>7</v>
      </c>
      <c r="B1287" s="1"/>
      <c r="C1287" s="1"/>
      <c r="D1287" s="1"/>
      <c r="E1287" s="1"/>
    </row>
    <row r="1288" spans="1:5" ht="15.75" hidden="1" thickBot="1">
      <c r="A1288" s="359" t="s">
        <v>281</v>
      </c>
      <c r="B1288" s="359"/>
      <c r="C1288" s="359"/>
      <c r="D1288" s="359"/>
      <c r="E1288" s="360"/>
    </row>
    <row r="1289" spans="1:5" ht="15" hidden="1">
      <c r="A1289" s="253" t="s">
        <v>8</v>
      </c>
      <c r="B1289" s="254" t="s">
        <v>9</v>
      </c>
      <c r="C1289" s="254" t="s">
        <v>10</v>
      </c>
      <c r="D1289" s="254" t="s">
        <v>11</v>
      </c>
      <c r="E1289" s="256" t="s">
        <v>12</v>
      </c>
    </row>
    <row r="1290" spans="1:5" ht="15" hidden="1">
      <c r="A1290" s="257">
        <v>1</v>
      </c>
      <c r="B1290" s="26">
        <v>2</v>
      </c>
      <c r="C1290" s="26">
        <v>3</v>
      </c>
      <c r="D1290" s="26">
        <v>4</v>
      </c>
      <c r="E1290" s="258">
        <v>5</v>
      </c>
    </row>
    <row r="1291" spans="1:5" ht="15" hidden="1">
      <c r="A1291" s="413" t="s">
        <v>13</v>
      </c>
      <c r="B1291" s="414" t="s">
        <v>14</v>
      </c>
      <c r="C1291" s="28"/>
      <c r="D1291" s="28"/>
      <c r="E1291" s="325"/>
    </row>
    <row r="1292" spans="1:5" ht="17.25" hidden="1">
      <c r="A1292" s="417" t="s">
        <v>15</v>
      </c>
      <c r="B1292" s="423" t="s">
        <v>183</v>
      </c>
      <c r="C1292" s="402" t="s">
        <v>59</v>
      </c>
      <c r="D1292" s="326" t="s">
        <v>179</v>
      </c>
      <c r="E1292" s="327">
        <f>E1294+E1296</f>
        <v>18.974665740410348</v>
      </c>
    </row>
    <row r="1293" spans="1:5" ht="15.75" hidden="1">
      <c r="A1293" s="418"/>
      <c r="B1293" s="424"/>
      <c r="C1293" s="412" t="s">
        <v>292</v>
      </c>
      <c r="D1293" s="368"/>
      <c r="E1293" s="377">
        <f>E1292/3.4528</f>
        <v>5.495443043446</v>
      </c>
    </row>
    <row r="1294" spans="1:5" ht="18.75" hidden="1">
      <c r="A1294" s="419" t="s">
        <v>16</v>
      </c>
      <c r="B1294" s="42" t="s">
        <v>18</v>
      </c>
      <c r="C1294" s="388" t="s">
        <v>59</v>
      </c>
      <c r="D1294" s="370" t="s">
        <v>171</v>
      </c>
      <c r="E1294" s="371">
        <v>4.57</v>
      </c>
    </row>
    <row r="1295" spans="1:5" ht="15.75" hidden="1">
      <c r="A1295" s="420"/>
      <c r="B1295" s="425"/>
      <c r="C1295" s="384" t="s">
        <v>292</v>
      </c>
      <c r="D1295" s="373"/>
      <c r="E1295" s="378">
        <f>E1294/3.4528</f>
        <v>1.323563484708063</v>
      </c>
    </row>
    <row r="1296" spans="1:5" ht="33" hidden="1">
      <c r="A1296" s="421" t="s">
        <v>17</v>
      </c>
      <c r="B1296" s="434" t="s">
        <v>19</v>
      </c>
      <c r="C1296" s="366" t="s">
        <v>59</v>
      </c>
      <c r="D1296" s="375" t="s">
        <v>278</v>
      </c>
      <c r="E1296" s="367">
        <f>0.29+((4325*E1302+226*E1310+106.1*E1306+509*E1314)/(44.84*1000))/10</f>
        <v>14.404665740410348</v>
      </c>
    </row>
    <row r="1297" spans="1:5" ht="15" hidden="1">
      <c r="A1297" s="422"/>
      <c r="B1297" s="427"/>
      <c r="C1297" s="384" t="s">
        <v>292</v>
      </c>
      <c r="D1297" s="376"/>
      <c r="E1297" s="379">
        <f>E1296/3.4528</f>
        <v>4.1718795587379365</v>
      </c>
    </row>
    <row r="1298" spans="1:5" ht="15" hidden="1">
      <c r="A1298" s="415" t="s">
        <v>21</v>
      </c>
      <c r="B1298" s="416" t="s">
        <v>22</v>
      </c>
      <c r="C1298" s="34"/>
      <c r="D1298" s="374"/>
      <c r="E1298" s="331"/>
    </row>
    <row r="1299" spans="1:5" ht="15" hidden="1">
      <c r="A1299" s="332" t="s">
        <v>23</v>
      </c>
      <c r="B1299" s="54" t="s">
        <v>24</v>
      </c>
      <c r="C1299" s="55"/>
      <c r="D1299" s="55"/>
      <c r="E1299" s="333"/>
    </row>
    <row r="1300" spans="1:5" ht="15" hidden="1">
      <c r="A1300" s="328" t="s">
        <v>25</v>
      </c>
      <c r="B1300" s="26" t="s">
        <v>26</v>
      </c>
      <c r="C1300" s="36" t="s">
        <v>41</v>
      </c>
      <c r="D1300" s="26"/>
      <c r="E1300" s="334">
        <v>1034.57</v>
      </c>
    </row>
    <row r="1301" spans="1:5" ht="15" hidden="1">
      <c r="A1301" s="328" t="s">
        <v>27</v>
      </c>
      <c r="B1301" s="26" t="s">
        <v>28</v>
      </c>
      <c r="C1301" s="7" t="s">
        <v>41</v>
      </c>
      <c r="D1301" s="26"/>
      <c r="E1301" s="258">
        <v>313.23</v>
      </c>
    </row>
    <row r="1302" spans="1:5" ht="15" hidden="1">
      <c r="A1302" s="328" t="s">
        <v>29</v>
      </c>
      <c r="B1302" s="42" t="s">
        <v>30</v>
      </c>
      <c r="C1302" s="43" t="s">
        <v>41</v>
      </c>
      <c r="D1302" s="26"/>
      <c r="E1302" s="335">
        <f>E1300+E1301</f>
        <v>1347.8</v>
      </c>
    </row>
    <row r="1303" spans="1:5" ht="15" hidden="1">
      <c r="A1303" s="336" t="s">
        <v>31</v>
      </c>
      <c r="B1303" s="45" t="s">
        <v>265</v>
      </c>
      <c r="C1303" s="46"/>
      <c r="D1303" s="46"/>
      <c r="E1303" s="337"/>
    </row>
    <row r="1304" spans="1:5" ht="15" hidden="1">
      <c r="A1304" s="328" t="s">
        <v>35</v>
      </c>
      <c r="B1304" s="26" t="s">
        <v>26</v>
      </c>
      <c r="C1304" s="44" t="s">
        <v>33</v>
      </c>
      <c r="D1304" s="26"/>
      <c r="E1304" s="334"/>
    </row>
    <row r="1305" spans="1:5" ht="15" hidden="1">
      <c r="A1305" s="328" t="s">
        <v>36</v>
      </c>
      <c r="B1305" s="26" t="s">
        <v>28</v>
      </c>
      <c r="C1305" s="6" t="s">
        <v>33</v>
      </c>
      <c r="D1305" s="26"/>
      <c r="E1305" s="334"/>
    </row>
    <row r="1306" spans="1:5" ht="15" hidden="1">
      <c r="A1306" s="328" t="s">
        <v>37</v>
      </c>
      <c r="B1306" s="26" t="s">
        <v>30</v>
      </c>
      <c r="C1306" s="48" t="s">
        <v>33</v>
      </c>
      <c r="D1306" s="26"/>
      <c r="E1306" s="335">
        <v>408.98</v>
      </c>
    </row>
    <row r="1307" spans="1:5" ht="15" hidden="1">
      <c r="A1307" s="336" t="s">
        <v>31</v>
      </c>
      <c r="B1307" s="45" t="s">
        <v>266</v>
      </c>
      <c r="C1307" s="46"/>
      <c r="D1307" s="46"/>
      <c r="E1307" s="337"/>
    </row>
    <row r="1308" spans="1:5" ht="15" hidden="1">
      <c r="A1308" s="328" t="s">
        <v>35</v>
      </c>
      <c r="B1308" s="26" t="s">
        <v>26</v>
      </c>
      <c r="C1308" s="44" t="s">
        <v>33</v>
      </c>
      <c r="D1308" s="26"/>
      <c r="E1308" s="334"/>
    </row>
    <row r="1309" spans="1:5" ht="15" hidden="1">
      <c r="A1309" s="328" t="s">
        <v>36</v>
      </c>
      <c r="B1309" s="26" t="s">
        <v>28</v>
      </c>
      <c r="C1309" s="6" t="s">
        <v>33</v>
      </c>
      <c r="D1309" s="26"/>
      <c r="E1309" s="334"/>
    </row>
    <row r="1310" spans="1:5" ht="15" hidden="1">
      <c r="A1310" s="328" t="s">
        <v>37</v>
      </c>
      <c r="B1310" s="26" t="s">
        <v>30</v>
      </c>
      <c r="C1310" s="48" t="s">
        <v>33</v>
      </c>
      <c r="D1310" s="26"/>
      <c r="E1310" s="335">
        <v>347.42</v>
      </c>
    </row>
    <row r="1311" spans="1:5" ht="15" hidden="1">
      <c r="A1311" s="338" t="s">
        <v>34</v>
      </c>
      <c r="B1311" s="50" t="s">
        <v>103</v>
      </c>
      <c r="C1311" s="51"/>
      <c r="D1311" s="51"/>
      <c r="E1311" s="339"/>
    </row>
    <row r="1312" spans="1:5" ht="15" hidden="1">
      <c r="A1312" s="340" t="s">
        <v>38</v>
      </c>
      <c r="B1312" s="49" t="s">
        <v>26</v>
      </c>
      <c r="C1312" s="44" t="s">
        <v>33</v>
      </c>
      <c r="D1312" s="26"/>
      <c r="E1312" s="334">
        <f>Lapas3!D1180</f>
        <v>0</v>
      </c>
    </row>
    <row r="1313" spans="1:5" ht="15" hidden="1">
      <c r="A1313" s="340" t="s">
        <v>39</v>
      </c>
      <c r="B1313" s="26" t="s">
        <v>28</v>
      </c>
      <c r="C1313" s="6" t="s">
        <v>33</v>
      </c>
      <c r="D1313" s="26"/>
      <c r="E1313" s="258"/>
    </row>
    <row r="1314" spans="1:5" ht="15" hidden="1">
      <c r="A1314" s="23" t="s">
        <v>40</v>
      </c>
      <c r="B1314" s="42" t="s">
        <v>30</v>
      </c>
      <c r="C1314" s="48" t="s">
        <v>33</v>
      </c>
      <c r="D1314" s="26"/>
      <c r="E1314" s="335">
        <v>742.38</v>
      </c>
    </row>
    <row r="1315" spans="1:5" ht="15" hidden="1">
      <c r="A1315" s="341" t="s">
        <v>42</v>
      </c>
      <c r="B1315" s="58" t="s">
        <v>43</v>
      </c>
      <c r="C1315" s="59"/>
      <c r="D1315" s="59"/>
      <c r="E1315" s="342"/>
    </row>
    <row r="1316" spans="1:5" ht="15" hidden="1">
      <c r="A1316" s="257" t="s">
        <v>44</v>
      </c>
      <c r="B1316" s="26" t="s">
        <v>104</v>
      </c>
      <c r="C1316" s="26"/>
      <c r="D1316" s="26"/>
      <c r="E1316" s="343" t="s">
        <v>106</v>
      </c>
    </row>
    <row r="1317" spans="1:5" ht="15" hidden="1">
      <c r="A1317" s="257" t="s">
        <v>45</v>
      </c>
      <c r="B1317" s="26" t="s">
        <v>105</v>
      </c>
      <c r="C1317" s="13" t="s">
        <v>59</v>
      </c>
      <c r="D1317" s="26"/>
      <c r="E1317" s="258">
        <v>0</v>
      </c>
    </row>
    <row r="1318" spans="1:5" ht="17.25" hidden="1">
      <c r="A1318" s="344" t="s">
        <v>46</v>
      </c>
      <c r="B1318" s="144" t="s">
        <v>172</v>
      </c>
      <c r="C1318" s="148" t="s">
        <v>59</v>
      </c>
      <c r="D1318" s="149" t="s">
        <v>181</v>
      </c>
      <c r="E1318" s="352">
        <f>E1319+E1320</f>
        <v>18.974665740410348</v>
      </c>
    </row>
    <row r="1319" spans="1:5" ht="18.75" hidden="1">
      <c r="A1319" s="257" t="s">
        <v>48</v>
      </c>
      <c r="B1319" s="26" t="s">
        <v>49</v>
      </c>
      <c r="C1319" s="61" t="s">
        <v>59</v>
      </c>
      <c r="D1319" s="130" t="s">
        <v>173</v>
      </c>
      <c r="E1319" s="334">
        <f>E1294</f>
        <v>4.57</v>
      </c>
    </row>
    <row r="1320" spans="1:5" ht="33" hidden="1">
      <c r="A1320" s="329" t="s">
        <v>50</v>
      </c>
      <c r="B1320" s="39" t="s">
        <v>51</v>
      </c>
      <c r="C1320" s="30" t="s">
        <v>59</v>
      </c>
      <c r="D1320" s="62" t="s">
        <v>278</v>
      </c>
      <c r="E1320" s="346">
        <f>E1296</f>
        <v>14.404665740410348</v>
      </c>
    </row>
    <row r="1321" spans="1:5" ht="15" hidden="1">
      <c r="A1321" s="257" t="s">
        <v>52</v>
      </c>
      <c r="B1321" s="63" t="s">
        <v>53</v>
      </c>
      <c r="C1321" s="37"/>
      <c r="D1321" s="37"/>
      <c r="E1321" s="331"/>
    </row>
    <row r="1322" spans="1:5" ht="15" hidden="1">
      <c r="A1322" s="257" t="s">
        <v>54</v>
      </c>
      <c r="B1322" s="26" t="s">
        <v>55</v>
      </c>
      <c r="C1322" s="13" t="s">
        <v>56</v>
      </c>
      <c r="D1322" s="26"/>
      <c r="E1322" s="258">
        <v>33.34</v>
      </c>
    </row>
    <row r="1323" spans="1:5" ht="15" hidden="1">
      <c r="A1323" s="257" t="s">
        <v>57</v>
      </c>
      <c r="B1323" s="26" t="s">
        <v>58</v>
      </c>
      <c r="C1323" s="13" t="s">
        <v>59</v>
      </c>
      <c r="D1323" s="64" t="s">
        <v>47</v>
      </c>
      <c r="E1323" s="334">
        <f>E1320</f>
        <v>14.404665740410348</v>
      </c>
    </row>
    <row r="1324" spans="1:5" ht="15" hidden="1">
      <c r="A1324" s="324" t="s">
        <v>60</v>
      </c>
      <c r="B1324" s="459" t="s">
        <v>61</v>
      </c>
      <c r="C1324" s="460"/>
      <c r="D1324" s="460"/>
      <c r="E1324" s="461"/>
    </row>
    <row r="1325" spans="1:5" ht="17.25" hidden="1">
      <c r="A1325" s="395" t="s">
        <v>62</v>
      </c>
      <c r="B1325" s="385" t="s">
        <v>182</v>
      </c>
      <c r="C1325" s="386" t="s">
        <v>59</v>
      </c>
      <c r="D1325" s="381" t="s">
        <v>180</v>
      </c>
      <c r="E1325" s="380">
        <f>E1327+E1329</f>
        <v>6.503632445759864</v>
      </c>
    </row>
    <row r="1326" spans="1:5" ht="15.75" hidden="1">
      <c r="A1326" s="387"/>
      <c r="B1326" s="396"/>
      <c r="C1326" s="384" t="s">
        <v>292</v>
      </c>
      <c r="D1326" s="383"/>
      <c r="E1326" s="377">
        <f>E1325/3.4528</f>
        <v>1.8835821494902296</v>
      </c>
    </row>
    <row r="1327" spans="1:5" ht="18.75" hidden="1">
      <c r="A1327" s="391" t="s">
        <v>63</v>
      </c>
      <c r="B1327" s="397" t="s">
        <v>64</v>
      </c>
      <c r="C1327" s="388" t="s">
        <v>59</v>
      </c>
      <c r="D1327" s="370" t="s">
        <v>174</v>
      </c>
      <c r="E1327" s="331">
        <v>2.44</v>
      </c>
    </row>
    <row r="1328" spans="1:5" ht="15.75" hidden="1">
      <c r="A1328" s="392"/>
      <c r="B1328" s="398"/>
      <c r="C1328" s="384" t="s">
        <v>292</v>
      </c>
      <c r="D1328" s="372"/>
      <c r="E1328" s="377">
        <f>E1327/3.4528</f>
        <v>0.7066728452270621</v>
      </c>
    </row>
    <row r="1329" spans="1:5" ht="18.75" hidden="1">
      <c r="A1329" s="391" t="s">
        <v>65</v>
      </c>
      <c r="B1329" s="399" t="s">
        <v>66</v>
      </c>
      <c r="C1329" s="388" t="s">
        <v>59</v>
      </c>
      <c r="D1329" s="393" t="s">
        <v>279</v>
      </c>
      <c r="E1329" s="382">
        <f>0.41+(7.24*E1292/37.6)</f>
        <v>4.063632445759865</v>
      </c>
    </row>
    <row r="1330" spans="1:5" ht="15.75" hidden="1">
      <c r="A1330" s="392"/>
      <c r="B1330" s="400"/>
      <c r="C1330" s="384" t="s">
        <v>292</v>
      </c>
      <c r="D1330" s="394"/>
      <c r="E1330" s="377">
        <f>E1329/3.4528</f>
        <v>1.1769093042631675</v>
      </c>
    </row>
    <row r="1331" spans="1:5" ht="15" hidden="1">
      <c r="A1331" s="389" t="s">
        <v>67</v>
      </c>
      <c r="B1331" s="390" t="s">
        <v>68</v>
      </c>
      <c r="C1331" s="11"/>
      <c r="D1331" s="49"/>
      <c r="E1331" s="258"/>
    </row>
    <row r="1332" spans="1:5" ht="15" hidden="1">
      <c r="A1332" s="14" t="s">
        <v>69</v>
      </c>
      <c r="B1332" s="19" t="s">
        <v>55</v>
      </c>
      <c r="C1332" s="12" t="s">
        <v>56</v>
      </c>
      <c r="D1332" s="26"/>
      <c r="E1332" s="334">
        <v>16.1</v>
      </c>
    </row>
    <row r="1333" spans="1:5" ht="18.75" hidden="1">
      <c r="A1333" s="14" t="s">
        <v>70</v>
      </c>
      <c r="B1333" s="19" t="s">
        <v>71</v>
      </c>
      <c r="C1333" s="13" t="s">
        <v>59</v>
      </c>
      <c r="D1333" s="130" t="s">
        <v>176</v>
      </c>
      <c r="E1333" s="334">
        <f>E1329</f>
        <v>4.063632445759865</v>
      </c>
    </row>
    <row r="1334" spans="1:5" ht="15" hidden="1">
      <c r="A1334" s="347" t="s">
        <v>72</v>
      </c>
      <c r="B1334" s="454" t="s">
        <v>73</v>
      </c>
      <c r="C1334" s="455"/>
      <c r="D1334" s="455"/>
      <c r="E1334" s="456"/>
    </row>
    <row r="1335" spans="1:5" ht="15" hidden="1">
      <c r="A1335" s="457" t="s">
        <v>79</v>
      </c>
      <c r="B1335" s="20" t="s">
        <v>74</v>
      </c>
      <c r="C1335" s="13" t="s">
        <v>59</v>
      </c>
      <c r="D1335" s="132" t="s">
        <v>106</v>
      </c>
      <c r="E1335" s="264">
        <v>0.31</v>
      </c>
    </row>
    <row r="1336" spans="1:5" ht="15" hidden="1">
      <c r="A1336" s="458"/>
      <c r="B1336" s="21" t="s">
        <v>75</v>
      </c>
      <c r="C1336" s="61" t="s">
        <v>76</v>
      </c>
      <c r="D1336" s="132" t="s">
        <v>106</v>
      </c>
      <c r="E1336" s="264">
        <v>2.34</v>
      </c>
    </row>
    <row r="1337" spans="1:5" ht="15.75" hidden="1" thickBot="1">
      <c r="A1337" s="458"/>
      <c r="B1337" s="21" t="s">
        <v>77</v>
      </c>
      <c r="C1337" s="131" t="s">
        <v>78</v>
      </c>
      <c r="D1337" s="132" t="s">
        <v>106</v>
      </c>
      <c r="E1337" s="264">
        <v>46.34</v>
      </c>
    </row>
    <row r="1338" spans="1:5" ht="15" hidden="1">
      <c r="A1338" s="347" t="s">
        <v>80</v>
      </c>
      <c r="B1338" s="135" t="s">
        <v>81</v>
      </c>
      <c r="C1338" s="13" t="s">
        <v>59</v>
      </c>
      <c r="D1338" s="70"/>
      <c r="E1338" s="264">
        <v>-0.07</v>
      </c>
    </row>
    <row r="1339" spans="1:5" ht="15" hidden="1">
      <c r="A1339" s="347" t="s">
        <v>82</v>
      </c>
      <c r="B1339" s="135" t="s">
        <v>83</v>
      </c>
      <c r="C1339" s="13" t="s">
        <v>59</v>
      </c>
      <c r="D1339" s="70"/>
      <c r="E1339" s="264">
        <v>-0.14</v>
      </c>
    </row>
    <row r="1340" spans="1:5" ht="15" hidden="1">
      <c r="A1340" s="408" t="s">
        <v>84</v>
      </c>
      <c r="B1340" s="403" t="s">
        <v>267</v>
      </c>
      <c r="C1340" s="401" t="s">
        <v>59</v>
      </c>
      <c r="D1340" s="70"/>
      <c r="E1340" s="272">
        <v>25.57</v>
      </c>
    </row>
    <row r="1341" spans="1:5" ht="15" hidden="1">
      <c r="A1341" s="406"/>
      <c r="B1341" s="405"/>
      <c r="C1341" s="384" t="s">
        <v>292</v>
      </c>
      <c r="D1341" s="70"/>
      <c r="E1341" s="411">
        <f>E1340/3.4528</f>
        <v>7.405583873957369</v>
      </c>
    </row>
    <row r="1342" spans="1:5" ht="15" hidden="1">
      <c r="A1342" s="407" t="s">
        <v>85</v>
      </c>
      <c r="B1342" s="135" t="s">
        <v>86</v>
      </c>
      <c r="C1342" s="401" t="s">
        <v>59</v>
      </c>
      <c r="D1342" s="70"/>
      <c r="E1342" s="264">
        <v>0</v>
      </c>
    </row>
    <row r="1343" spans="1:5" ht="15" hidden="1">
      <c r="A1343" s="408" t="s">
        <v>87</v>
      </c>
      <c r="B1343" s="403" t="s">
        <v>88</v>
      </c>
      <c r="C1343" s="402" t="s">
        <v>59</v>
      </c>
      <c r="D1343" s="137"/>
      <c r="E1343" s="272">
        <f>E1340</f>
        <v>25.57</v>
      </c>
    </row>
    <row r="1344" spans="1:5" ht="15" hidden="1">
      <c r="A1344" s="406"/>
      <c r="B1344" s="405"/>
      <c r="C1344" s="384" t="s">
        <v>292</v>
      </c>
      <c r="D1344" s="137"/>
      <c r="E1344" s="411">
        <f>E1343/3.4528</f>
        <v>7.405583873957369</v>
      </c>
    </row>
    <row r="1345" spans="1:5" ht="15" hidden="1">
      <c r="A1345" s="408" t="s">
        <v>89</v>
      </c>
      <c r="B1345" s="403" t="s">
        <v>90</v>
      </c>
      <c r="C1345" s="402" t="s">
        <v>59</v>
      </c>
      <c r="D1345" s="137"/>
      <c r="E1345" s="273">
        <f>E1343*1.09</f>
        <v>27.8713</v>
      </c>
    </row>
    <row r="1346" spans="1:5" ht="15" hidden="1">
      <c r="A1346" s="409"/>
      <c r="B1346" s="410"/>
      <c r="C1346" s="384" t="s">
        <v>292</v>
      </c>
      <c r="D1346" s="137"/>
      <c r="E1346" s="411">
        <f>E1345/3.4528</f>
        <v>8.072086422613532</v>
      </c>
    </row>
    <row r="1347" spans="1:5" ht="15" hidden="1">
      <c r="A1347" s="408" t="s">
        <v>91</v>
      </c>
      <c r="B1347" s="403" t="s">
        <v>92</v>
      </c>
      <c r="C1347" s="402" t="s">
        <v>59</v>
      </c>
      <c r="D1347" s="137"/>
      <c r="E1347" s="273">
        <f>E1253</f>
        <v>25.48</v>
      </c>
    </row>
    <row r="1348" spans="1:5" ht="15" hidden="1">
      <c r="A1348" s="406"/>
      <c r="B1348" s="405"/>
      <c r="C1348" s="384" t="s">
        <v>292</v>
      </c>
      <c r="D1348" s="137"/>
      <c r="E1348" s="411">
        <f>E1347/3.4528</f>
        <v>7.379518072289157</v>
      </c>
    </row>
    <row r="1349" spans="1:5" ht="15" hidden="1">
      <c r="A1349" s="404" t="s">
        <v>93</v>
      </c>
      <c r="B1349" s="405" t="s">
        <v>94</v>
      </c>
      <c r="C1349" s="134" t="s">
        <v>95</v>
      </c>
      <c r="D1349" s="137"/>
      <c r="E1349" s="273">
        <f>(E1340/E1347)*100-100</f>
        <v>0.3532182103610779</v>
      </c>
    </row>
    <row r="1350" spans="1:5" ht="15" hidden="1">
      <c r="A1350" s="347" t="s">
        <v>96</v>
      </c>
      <c r="B1350" s="136" t="s">
        <v>97</v>
      </c>
      <c r="C1350" s="138" t="s">
        <v>98</v>
      </c>
      <c r="D1350" s="139"/>
      <c r="E1350" s="362">
        <v>0.927</v>
      </c>
    </row>
    <row r="1351" spans="1:5" ht="15" hidden="1">
      <c r="A1351" s="347" t="s">
        <v>99</v>
      </c>
      <c r="B1351" s="136" t="s">
        <v>100</v>
      </c>
      <c r="C1351" s="133" t="s">
        <v>98</v>
      </c>
      <c r="D1351" s="70"/>
      <c r="E1351" s="362">
        <v>0.596676</v>
      </c>
    </row>
    <row r="1352" spans="1:5" ht="15.75" hidden="1" thickBot="1">
      <c r="A1352" s="24" t="s">
        <v>101</v>
      </c>
      <c r="B1352" s="25" t="s">
        <v>102</v>
      </c>
      <c r="C1352" s="349" t="s">
        <v>98</v>
      </c>
      <c r="D1352" s="350"/>
      <c r="E1352" s="351">
        <v>0</v>
      </c>
    </row>
    <row r="1353" ht="15" hidden="1"/>
    <row r="1354" ht="15" hidden="1"/>
    <row r="1355" spans="2:4" ht="15" hidden="1">
      <c r="B1355" s="364"/>
      <c r="C1355" s="365"/>
      <c r="D1355" s="365"/>
    </row>
    <row r="1356" ht="15" hidden="1"/>
    <row r="1357" ht="15" hidden="1"/>
    <row r="1358" ht="15" hidden="1"/>
    <row r="1359" ht="15" hidden="1"/>
    <row r="1360" ht="15" hidden="1"/>
    <row r="1361" spans="2:4" ht="15" hidden="1">
      <c r="B1361" t="s">
        <v>189</v>
      </c>
      <c r="C1361" t="s">
        <v>193</v>
      </c>
      <c r="D1361" s="155" t="s">
        <v>190</v>
      </c>
    </row>
    <row r="1362" ht="15" hidden="1">
      <c r="C1362" s="162" t="s">
        <v>194</v>
      </c>
    </row>
    <row r="1363" ht="15" hidden="1"/>
    <row r="1364" spans="1:5" ht="15" hidden="1">
      <c r="A1364" s="140" t="s">
        <v>0</v>
      </c>
      <c r="B1364" s="140"/>
      <c r="C1364" s="140"/>
      <c r="D1364" s="140"/>
      <c r="E1364" s="140" t="s">
        <v>107</v>
      </c>
    </row>
    <row r="1365" spans="1:5" ht="15" hidden="1">
      <c r="A1365" s="140" t="s">
        <v>1</v>
      </c>
      <c r="B1365" s="140"/>
      <c r="C1365" s="140"/>
      <c r="D1365" s="140" t="s">
        <v>178</v>
      </c>
      <c r="E1365" s="3"/>
    </row>
    <row r="1366" spans="1:5" ht="15" hidden="1">
      <c r="A1366" s="140" t="s">
        <v>2</v>
      </c>
      <c r="B1366" s="140"/>
      <c r="C1366" s="140"/>
      <c r="D1366" s="140" t="s">
        <v>298</v>
      </c>
      <c r="E1366" s="5"/>
    </row>
    <row r="1367" spans="1:5" ht="15" hidden="1">
      <c r="A1367" s="140" t="s">
        <v>3</v>
      </c>
      <c r="B1367" s="140"/>
      <c r="C1367" s="140"/>
      <c r="D1367" s="140" t="s">
        <v>168</v>
      </c>
      <c r="E1367" s="3"/>
    </row>
    <row r="1368" spans="1:5" ht="15" hidden="1">
      <c r="A1368" s="140" t="s">
        <v>4</v>
      </c>
      <c r="B1368" s="140"/>
      <c r="C1368" s="140"/>
      <c r="D1368" s="140" t="s">
        <v>169</v>
      </c>
      <c r="E1368" s="3"/>
    </row>
    <row r="1369" spans="1:5" ht="15" hidden="1">
      <c r="A1369" s="161" t="s">
        <v>192</v>
      </c>
      <c r="B1369" s="140"/>
      <c r="C1369" s="140"/>
      <c r="D1369" s="140"/>
      <c r="E1369" s="3"/>
    </row>
    <row r="1370" spans="1:5" ht="15" hidden="1">
      <c r="A1370" s="140" t="s">
        <v>5</v>
      </c>
      <c r="B1370" s="140"/>
      <c r="C1370" s="140"/>
      <c r="D1370" s="140" t="s">
        <v>299</v>
      </c>
      <c r="E1370" s="3"/>
    </row>
    <row r="1371" spans="1:5" ht="15" hidden="1">
      <c r="A1371" s="1"/>
      <c r="B1371" s="1"/>
      <c r="C1371" s="1"/>
      <c r="D1371" s="1"/>
      <c r="E1371" s="1"/>
    </row>
    <row r="1372" spans="1:4" ht="15.75" hidden="1">
      <c r="A1372" s="150" t="s">
        <v>296</v>
      </c>
      <c r="B1372" s="150" t="s">
        <v>297</v>
      </c>
      <c r="C1372" s="2"/>
      <c r="D1372" s="2"/>
    </row>
    <row r="1373" spans="1:4" ht="15.75" hidden="1">
      <c r="A1373" s="150"/>
      <c r="B1373" s="150"/>
      <c r="C1373" s="363">
        <v>41934</v>
      </c>
      <c r="D1373" s="2"/>
    </row>
    <row r="1374" spans="1:4" ht="15.75" hidden="1">
      <c r="A1374" s="150"/>
      <c r="B1374" s="150"/>
      <c r="C1374" s="160" t="s">
        <v>191</v>
      </c>
      <c r="D1374" s="2"/>
    </row>
    <row r="1375" spans="1:5" ht="15" hidden="1">
      <c r="A1375" s="2" t="s">
        <v>6</v>
      </c>
      <c r="B1375" s="2"/>
      <c r="C1375" s="2"/>
      <c r="D1375" s="2"/>
      <c r="E1375" s="2"/>
    </row>
    <row r="1376" spans="1:5" ht="15" hidden="1">
      <c r="A1376" s="1" t="s">
        <v>260</v>
      </c>
      <c r="B1376" s="1"/>
      <c r="C1376" s="1"/>
      <c r="D1376" s="1"/>
      <c r="E1376" s="1"/>
    </row>
    <row r="1377" spans="1:5" ht="15" hidden="1">
      <c r="A1377" s="1" t="s">
        <v>7</v>
      </c>
      <c r="B1377" s="1"/>
      <c r="C1377" s="1"/>
      <c r="D1377" s="1"/>
      <c r="E1377" s="1"/>
    </row>
    <row r="1378" spans="1:5" ht="15.75" hidden="1" thickBot="1">
      <c r="A1378" s="359" t="s">
        <v>281</v>
      </c>
      <c r="B1378" s="359"/>
      <c r="C1378" s="359"/>
      <c r="D1378" s="359"/>
      <c r="E1378" s="360"/>
    </row>
    <row r="1379" spans="1:5" ht="15" hidden="1">
      <c r="A1379" s="253" t="s">
        <v>8</v>
      </c>
      <c r="B1379" s="254" t="s">
        <v>9</v>
      </c>
      <c r="C1379" s="254" t="s">
        <v>10</v>
      </c>
      <c r="D1379" s="254" t="s">
        <v>11</v>
      </c>
      <c r="E1379" s="256" t="s">
        <v>12</v>
      </c>
    </row>
    <row r="1380" spans="1:5" ht="15" hidden="1">
      <c r="A1380" s="257">
        <v>1</v>
      </c>
      <c r="B1380" s="26">
        <v>2</v>
      </c>
      <c r="C1380" s="26">
        <v>3</v>
      </c>
      <c r="D1380" s="26">
        <v>4</v>
      </c>
      <c r="E1380" s="258">
        <v>5</v>
      </c>
    </row>
    <row r="1381" spans="1:5" ht="15" hidden="1">
      <c r="A1381" s="413" t="s">
        <v>13</v>
      </c>
      <c r="B1381" s="414" t="s">
        <v>14</v>
      </c>
      <c r="C1381" s="28"/>
      <c r="D1381" s="28"/>
      <c r="E1381" s="325"/>
    </row>
    <row r="1382" spans="1:5" ht="17.25" hidden="1">
      <c r="A1382" s="417" t="s">
        <v>15</v>
      </c>
      <c r="B1382" s="423" t="s">
        <v>183</v>
      </c>
      <c r="C1382" s="402" t="s">
        <v>59</v>
      </c>
      <c r="D1382" s="326" t="s">
        <v>179</v>
      </c>
      <c r="E1382" s="327">
        <f>E1384+E1386</f>
        <v>19.437402196699374</v>
      </c>
    </row>
    <row r="1383" spans="1:5" ht="15.75" hidden="1">
      <c r="A1383" s="418"/>
      <c r="B1383" s="424"/>
      <c r="C1383" s="412" t="s">
        <v>292</v>
      </c>
      <c r="D1383" s="368"/>
      <c r="E1383" s="377">
        <f>E1382/3.4528</f>
        <v>5.629460784493563</v>
      </c>
    </row>
    <row r="1384" spans="1:5" ht="18.75" hidden="1">
      <c r="A1384" s="419" t="s">
        <v>16</v>
      </c>
      <c r="B1384" s="42" t="s">
        <v>18</v>
      </c>
      <c r="C1384" s="388" t="s">
        <v>59</v>
      </c>
      <c r="D1384" s="370" t="s">
        <v>171</v>
      </c>
      <c r="E1384" s="371">
        <v>4.57</v>
      </c>
    </row>
    <row r="1385" spans="1:5" ht="15.75" hidden="1">
      <c r="A1385" s="420"/>
      <c r="B1385" s="425"/>
      <c r="C1385" s="384" t="s">
        <v>292</v>
      </c>
      <c r="D1385" s="373"/>
      <c r="E1385" s="378">
        <f>E1384/3.4528</f>
        <v>1.323563484708063</v>
      </c>
    </row>
    <row r="1386" spans="1:5" ht="33" hidden="1">
      <c r="A1386" s="421" t="s">
        <v>17</v>
      </c>
      <c r="B1386" s="452" t="s">
        <v>19</v>
      </c>
      <c r="C1386" s="366" t="s">
        <v>59</v>
      </c>
      <c r="D1386" s="375" t="s">
        <v>278</v>
      </c>
      <c r="E1386" s="367">
        <f>0.29+((4325*E1392+226*E1400+106.1*E1396+509*E1404)/(44.84*1000))/10</f>
        <v>14.867402196699375</v>
      </c>
    </row>
    <row r="1387" spans="1:5" ht="15" hidden="1">
      <c r="A1387" s="422"/>
      <c r="B1387" s="427"/>
      <c r="C1387" s="384" t="s">
        <v>292</v>
      </c>
      <c r="D1387" s="376"/>
      <c r="E1387" s="379">
        <f>E1386/3.4528</f>
        <v>4.3058972997855</v>
      </c>
    </row>
    <row r="1388" spans="1:5" ht="15" hidden="1">
      <c r="A1388" s="415" t="s">
        <v>21</v>
      </c>
      <c r="B1388" s="416" t="s">
        <v>22</v>
      </c>
      <c r="C1388" s="34"/>
      <c r="D1388" s="374"/>
      <c r="E1388" s="331"/>
    </row>
    <row r="1389" spans="1:5" ht="15" hidden="1">
      <c r="A1389" s="332" t="s">
        <v>23</v>
      </c>
      <c r="B1389" s="54" t="s">
        <v>24</v>
      </c>
      <c r="C1389" s="55"/>
      <c r="D1389" s="55"/>
      <c r="E1389" s="333"/>
    </row>
    <row r="1390" spans="1:5" ht="15" hidden="1">
      <c r="A1390" s="328" t="s">
        <v>25</v>
      </c>
      <c r="B1390" s="26" t="s">
        <v>26</v>
      </c>
      <c r="C1390" s="36" t="s">
        <v>41</v>
      </c>
      <c r="D1390" s="26"/>
      <c r="E1390" s="334">
        <v>1068.56</v>
      </c>
    </row>
    <row r="1391" spans="1:5" ht="15" hidden="1">
      <c r="A1391" s="328" t="s">
        <v>27</v>
      </c>
      <c r="B1391" s="26" t="s">
        <v>28</v>
      </c>
      <c r="C1391" s="7" t="s">
        <v>41</v>
      </c>
      <c r="D1391" s="26"/>
      <c r="E1391" s="258">
        <v>313.23</v>
      </c>
    </row>
    <row r="1392" spans="1:5" ht="15" hidden="1">
      <c r="A1392" s="328" t="s">
        <v>29</v>
      </c>
      <c r="B1392" s="42" t="s">
        <v>30</v>
      </c>
      <c r="C1392" s="43" t="s">
        <v>41</v>
      </c>
      <c r="D1392" s="26"/>
      <c r="E1392" s="335">
        <f>E1390+E1391</f>
        <v>1381.79</v>
      </c>
    </row>
    <row r="1393" spans="1:5" ht="15" hidden="1">
      <c r="A1393" s="336" t="s">
        <v>31</v>
      </c>
      <c r="B1393" s="45" t="s">
        <v>265</v>
      </c>
      <c r="C1393" s="46"/>
      <c r="D1393" s="46"/>
      <c r="E1393" s="337"/>
    </row>
    <row r="1394" spans="1:5" ht="15" hidden="1">
      <c r="A1394" s="328" t="s">
        <v>35</v>
      </c>
      <c r="B1394" s="26" t="s">
        <v>26</v>
      </c>
      <c r="C1394" s="44" t="s">
        <v>33</v>
      </c>
      <c r="D1394" s="26"/>
      <c r="E1394" s="334"/>
    </row>
    <row r="1395" spans="1:5" ht="15" hidden="1">
      <c r="A1395" s="328" t="s">
        <v>36</v>
      </c>
      <c r="B1395" s="26" t="s">
        <v>28</v>
      </c>
      <c r="C1395" s="6" t="s">
        <v>33</v>
      </c>
      <c r="D1395" s="26"/>
      <c r="E1395" s="334"/>
    </row>
    <row r="1396" spans="1:5" ht="15" hidden="1">
      <c r="A1396" s="328" t="s">
        <v>37</v>
      </c>
      <c r="B1396" s="26" t="s">
        <v>30</v>
      </c>
      <c r="C1396" s="48" t="s">
        <v>33</v>
      </c>
      <c r="D1396" s="26"/>
      <c r="E1396" s="335">
        <v>556.55</v>
      </c>
    </row>
    <row r="1397" spans="1:5" ht="15" hidden="1">
      <c r="A1397" s="336" t="s">
        <v>31</v>
      </c>
      <c r="B1397" s="45" t="s">
        <v>266</v>
      </c>
      <c r="C1397" s="46"/>
      <c r="D1397" s="46"/>
      <c r="E1397" s="337"/>
    </row>
    <row r="1398" spans="1:5" ht="15" hidden="1">
      <c r="A1398" s="328" t="s">
        <v>35</v>
      </c>
      <c r="B1398" s="26" t="s">
        <v>26</v>
      </c>
      <c r="C1398" s="44" t="s">
        <v>33</v>
      </c>
      <c r="D1398" s="26"/>
      <c r="E1398" s="334"/>
    </row>
    <row r="1399" spans="1:5" ht="15" hidden="1">
      <c r="A1399" s="328" t="s">
        <v>36</v>
      </c>
      <c r="B1399" s="26" t="s">
        <v>28</v>
      </c>
      <c r="C1399" s="6" t="s">
        <v>33</v>
      </c>
      <c r="D1399" s="26"/>
      <c r="E1399" s="334"/>
    </row>
    <row r="1400" spans="1:5" ht="15" hidden="1">
      <c r="A1400" s="328" t="s">
        <v>37</v>
      </c>
      <c r="B1400" s="26" t="s">
        <v>30</v>
      </c>
      <c r="C1400" s="48" t="s">
        <v>33</v>
      </c>
      <c r="D1400" s="26"/>
      <c r="E1400" s="335">
        <v>545.77</v>
      </c>
    </row>
    <row r="1401" spans="1:5" ht="15" hidden="1">
      <c r="A1401" s="338" t="s">
        <v>34</v>
      </c>
      <c r="B1401" s="50" t="s">
        <v>103</v>
      </c>
      <c r="C1401" s="51"/>
      <c r="D1401" s="51"/>
      <c r="E1401" s="339"/>
    </row>
    <row r="1402" spans="1:5" ht="15" hidden="1">
      <c r="A1402" s="340" t="s">
        <v>38</v>
      </c>
      <c r="B1402" s="49" t="s">
        <v>26</v>
      </c>
      <c r="C1402" s="44" t="s">
        <v>33</v>
      </c>
      <c r="D1402" s="26"/>
      <c r="E1402" s="334">
        <f>Lapas3!D1270</f>
        <v>0</v>
      </c>
    </row>
    <row r="1403" spans="1:5" ht="15" hidden="1">
      <c r="A1403" s="340" t="s">
        <v>39</v>
      </c>
      <c r="B1403" s="26" t="s">
        <v>28</v>
      </c>
      <c r="C1403" s="6" t="s">
        <v>33</v>
      </c>
      <c r="D1403" s="26"/>
      <c r="E1403" s="258"/>
    </row>
    <row r="1404" spans="1:5" ht="15" hidden="1">
      <c r="A1404" s="23" t="s">
        <v>40</v>
      </c>
      <c r="B1404" s="42" t="s">
        <v>30</v>
      </c>
      <c r="C1404" s="48" t="s">
        <v>33</v>
      </c>
      <c r="D1404" s="26"/>
      <c r="E1404" s="335">
        <v>742.38</v>
      </c>
    </row>
    <row r="1405" spans="1:5" ht="15" hidden="1">
      <c r="A1405" s="341" t="s">
        <v>42</v>
      </c>
      <c r="B1405" s="58" t="s">
        <v>43</v>
      </c>
      <c r="C1405" s="59"/>
      <c r="D1405" s="59"/>
      <c r="E1405" s="342"/>
    </row>
    <row r="1406" spans="1:5" ht="15" hidden="1">
      <c r="A1406" s="257" t="s">
        <v>44</v>
      </c>
      <c r="B1406" s="26" t="s">
        <v>104</v>
      </c>
      <c r="C1406" s="26"/>
      <c r="D1406" s="26"/>
      <c r="E1406" s="343" t="s">
        <v>106</v>
      </c>
    </row>
    <row r="1407" spans="1:5" ht="15" hidden="1">
      <c r="A1407" s="257" t="s">
        <v>45</v>
      </c>
      <c r="B1407" s="26" t="s">
        <v>105</v>
      </c>
      <c r="C1407" s="13" t="s">
        <v>59</v>
      </c>
      <c r="D1407" s="26"/>
      <c r="E1407" s="258">
        <v>0</v>
      </c>
    </row>
    <row r="1408" spans="1:5" ht="17.25" hidden="1">
      <c r="A1408" s="344" t="s">
        <v>46</v>
      </c>
      <c r="B1408" s="144" t="s">
        <v>172</v>
      </c>
      <c r="C1408" s="148" t="s">
        <v>59</v>
      </c>
      <c r="D1408" s="149" t="s">
        <v>181</v>
      </c>
      <c r="E1408" s="352">
        <f>E1409+E1410</f>
        <v>19.437402196699374</v>
      </c>
    </row>
    <row r="1409" spans="1:5" ht="18.75" hidden="1">
      <c r="A1409" s="257" t="s">
        <v>48</v>
      </c>
      <c r="B1409" s="26" t="s">
        <v>49</v>
      </c>
      <c r="C1409" s="61" t="s">
        <v>59</v>
      </c>
      <c r="D1409" s="130" t="s">
        <v>173</v>
      </c>
      <c r="E1409" s="334">
        <f>E1384</f>
        <v>4.57</v>
      </c>
    </row>
    <row r="1410" spans="1:5" ht="33" hidden="1">
      <c r="A1410" s="329" t="s">
        <v>50</v>
      </c>
      <c r="B1410" s="39" t="s">
        <v>51</v>
      </c>
      <c r="C1410" s="30" t="s">
        <v>59</v>
      </c>
      <c r="D1410" s="62" t="s">
        <v>278</v>
      </c>
      <c r="E1410" s="346">
        <f>E1386</f>
        <v>14.867402196699375</v>
      </c>
    </row>
    <row r="1411" spans="1:5" ht="15" hidden="1">
      <c r="A1411" s="257" t="s">
        <v>52</v>
      </c>
      <c r="B1411" s="63" t="s">
        <v>53</v>
      </c>
      <c r="C1411" s="37"/>
      <c r="D1411" s="37"/>
      <c r="E1411" s="331"/>
    </row>
    <row r="1412" spans="1:5" ht="15" hidden="1">
      <c r="A1412" s="257" t="s">
        <v>54</v>
      </c>
      <c r="B1412" s="26" t="s">
        <v>55</v>
      </c>
      <c r="C1412" s="13" t="s">
        <v>56</v>
      </c>
      <c r="D1412" s="26"/>
      <c r="E1412" s="258">
        <v>33.34</v>
      </c>
    </row>
    <row r="1413" spans="1:5" ht="15" hidden="1">
      <c r="A1413" s="257" t="s">
        <v>57</v>
      </c>
      <c r="B1413" s="26" t="s">
        <v>58</v>
      </c>
      <c r="C1413" s="13" t="s">
        <v>59</v>
      </c>
      <c r="D1413" s="64" t="s">
        <v>47</v>
      </c>
      <c r="E1413" s="334">
        <f>E1410</f>
        <v>14.867402196699375</v>
      </c>
    </row>
    <row r="1414" spans="1:5" ht="15" hidden="1">
      <c r="A1414" s="324" t="s">
        <v>60</v>
      </c>
      <c r="B1414" s="459" t="s">
        <v>61</v>
      </c>
      <c r="C1414" s="460"/>
      <c r="D1414" s="460"/>
      <c r="E1414" s="461"/>
    </row>
    <row r="1415" spans="1:5" ht="17.25" hidden="1">
      <c r="A1415" s="395" t="s">
        <v>62</v>
      </c>
      <c r="B1415" s="385" t="s">
        <v>182</v>
      </c>
      <c r="C1415" s="386" t="s">
        <v>59</v>
      </c>
      <c r="D1415" s="381" t="s">
        <v>180</v>
      </c>
      <c r="E1415" s="380">
        <f>E1417+E1419</f>
        <v>6.592733827236794</v>
      </c>
    </row>
    <row r="1416" spans="1:5" ht="15.75" hidden="1">
      <c r="A1416" s="387"/>
      <c r="B1416" s="396"/>
      <c r="C1416" s="384" t="s">
        <v>292</v>
      </c>
      <c r="D1416" s="383"/>
      <c r="E1416" s="377">
        <f>E1415/3.4528</f>
        <v>1.9093876932451326</v>
      </c>
    </row>
    <row r="1417" spans="1:5" ht="18.75" hidden="1">
      <c r="A1417" s="391" t="s">
        <v>63</v>
      </c>
      <c r="B1417" s="397" t="s">
        <v>64</v>
      </c>
      <c r="C1417" s="388" t="s">
        <v>59</v>
      </c>
      <c r="D1417" s="370" t="s">
        <v>174</v>
      </c>
      <c r="E1417" s="331">
        <v>2.44</v>
      </c>
    </row>
    <row r="1418" spans="1:5" ht="15.75" hidden="1">
      <c r="A1418" s="392"/>
      <c r="B1418" s="398"/>
      <c r="C1418" s="384" t="s">
        <v>292</v>
      </c>
      <c r="D1418" s="372"/>
      <c r="E1418" s="377">
        <f>E1417/3.4528</f>
        <v>0.7066728452270621</v>
      </c>
    </row>
    <row r="1419" spans="1:5" ht="18.75" hidden="1">
      <c r="A1419" s="391" t="s">
        <v>65</v>
      </c>
      <c r="B1419" s="399" t="s">
        <v>66</v>
      </c>
      <c r="C1419" s="388" t="s">
        <v>59</v>
      </c>
      <c r="D1419" s="393" t="s">
        <v>279</v>
      </c>
      <c r="E1419" s="382">
        <f>0.41+(7.24*E1382/37.6)</f>
        <v>4.152733827236794</v>
      </c>
    </row>
    <row r="1420" spans="1:5" ht="15.75" hidden="1">
      <c r="A1420" s="392"/>
      <c r="B1420" s="400"/>
      <c r="C1420" s="384" t="s">
        <v>292</v>
      </c>
      <c r="D1420" s="394"/>
      <c r="E1420" s="377">
        <f>E1419/3.4528</f>
        <v>1.2027148480180707</v>
      </c>
    </row>
    <row r="1421" spans="1:5" ht="15" hidden="1">
      <c r="A1421" s="389" t="s">
        <v>67</v>
      </c>
      <c r="B1421" s="390" t="s">
        <v>68</v>
      </c>
      <c r="C1421" s="11"/>
      <c r="D1421" s="49"/>
      <c r="E1421" s="258"/>
    </row>
    <row r="1422" spans="1:5" ht="15" hidden="1">
      <c r="A1422" s="14" t="s">
        <v>69</v>
      </c>
      <c r="B1422" s="19" t="s">
        <v>55</v>
      </c>
      <c r="C1422" s="12" t="s">
        <v>56</v>
      </c>
      <c r="D1422" s="26"/>
      <c r="E1422" s="334">
        <v>16.1</v>
      </c>
    </row>
    <row r="1423" spans="1:5" ht="18.75" hidden="1">
      <c r="A1423" s="14" t="s">
        <v>70</v>
      </c>
      <c r="B1423" s="19" t="s">
        <v>71</v>
      </c>
      <c r="C1423" s="13" t="s">
        <v>59</v>
      </c>
      <c r="D1423" s="130" t="s">
        <v>176</v>
      </c>
      <c r="E1423" s="334">
        <f>E1419</f>
        <v>4.152733827236794</v>
      </c>
    </row>
    <row r="1424" spans="1:5" ht="15" hidden="1">
      <c r="A1424" s="347" t="s">
        <v>72</v>
      </c>
      <c r="B1424" s="454" t="s">
        <v>73</v>
      </c>
      <c r="C1424" s="455"/>
      <c r="D1424" s="455"/>
      <c r="E1424" s="456"/>
    </row>
    <row r="1425" spans="1:5" ht="15" hidden="1">
      <c r="A1425" s="457" t="s">
        <v>79</v>
      </c>
      <c r="B1425" s="20" t="s">
        <v>74</v>
      </c>
      <c r="C1425" s="13" t="s">
        <v>59</v>
      </c>
      <c r="D1425" s="132" t="s">
        <v>106</v>
      </c>
      <c r="E1425" s="264">
        <v>0.31</v>
      </c>
    </row>
    <row r="1426" spans="1:5" ht="15" hidden="1">
      <c r="A1426" s="458"/>
      <c r="B1426" s="21" t="s">
        <v>75</v>
      </c>
      <c r="C1426" s="61" t="s">
        <v>76</v>
      </c>
      <c r="D1426" s="132" t="s">
        <v>106</v>
      </c>
      <c r="E1426" s="264">
        <v>2.34</v>
      </c>
    </row>
    <row r="1427" spans="1:5" ht="15.75" hidden="1" thickBot="1">
      <c r="A1427" s="458"/>
      <c r="B1427" s="21" t="s">
        <v>300</v>
      </c>
      <c r="C1427" s="131" t="s">
        <v>78</v>
      </c>
      <c r="D1427" s="132" t="s">
        <v>106</v>
      </c>
      <c r="E1427" s="264">
        <v>46.34</v>
      </c>
    </row>
    <row r="1428" spans="1:5" ht="15" hidden="1">
      <c r="A1428" s="347" t="s">
        <v>80</v>
      </c>
      <c r="B1428" s="135" t="s">
        <v>81</v>
      </c>
      <c r="C1428" s="13" t="s">
        <v>59</v>
      </c>
      <c r="D1428" s="70"/>
      <c r="E1428" s="264">
        <v>-0.07</v>
      </c>
    </row>
    <row r="1429" spans="1:5" ht="15" hidden="1">
      <c r="A1429" s="347" t="s">
        <v>82</v>
      </c>
      <c r="B1429" s="135" t="s">
        <v>83</v>
      </c>
      <c r="C1429" s="13" t="s">
        <v>59</v>
      </c>
      <c r="D1429" s="70"/>
      <c r="E1429" s="264">
        <v>-0.14</v>
      </c>
    </row>
    <row r="1430" spans="1:5" ht="15" hidden="1">
      <c r="A1430" s="408" t="s">
        <v>84</v>
      </c>
      <c r="B1430" s="403" t="s">
        <v>267</v>
      </c>
      <c r="C1430" s="401" t="s">
        <v>59</v>
      </c>
      <c r="D1430" s="70"/>
      <c r="E1430" s="272">
        <f>E1382+E1415+E1425+E1428+E1429</f>
        <v>26.130136023936164</v>
      </c>
    </row>
    <row r="1431" spans="1:5" ht="15" hidden="1">
      <c r="A1431" s="406"/>
      <c r="B1431" s="405"/>
      <c r="C1431" s="384" t="s">
        <v>292</v>
      </c>
      <c r="D1431" s="70"/>
      <c r="E1431" s="411">
        <f>E1430/3.4528</f>
        <v>7.5678104795922625</v>
      </c>
    </row>
    <row r="1432" spans="1:5" ht="15" hidden="1">
      <c r="A1432" s="407" t="s">
        <v>85</v>
      </c>
      <c r="B1432" s="135" t="s">
        <v>86</v>
      </c>
      <c r="C1432" s="401" t="s">
        <v>59</v>
      </c>
      <c r="D1432" s="70"/>
      <c r="E1432" s="264">
        <v>0</v>
      </c>
    </row>
    <row r="1433" spans="1:5" ht="15" hidden="1">
      <c r="A1433" s="408" t="s">
        <v>87</v>
      </c>
      <c r="B1433" s="403" t="s">
        <v>88</v>
      </c>
      <c r="C1433" s="402" t="s">
        <v>59</v>
      </c>
      <c r="D1433" s="137"/>
      <c r="E1433" s="272">
        <f>E1430</f>
        <v>26.130136023936164</v>
      </c>
    </row>
    <row r="1434" spans="1:5" ht="15" hidden="1">
      <c r="A1434" s="406"/>
      <c r="B1434" s="405"/>
      <c r="C1434" s="384" t="s">
        <v>292</v>
      </c>
      <c r="D1434" s="137"/>
      <c r="E1434" s="411">
        <f>E1433/3.4528</f>
        <v>7.5678104795922625</v>
      </c>
    </row>
    <row r="1435" spans="1:5" ht="15" hidden="1">
      <c r="A1435" s="408" t="s">
        <v>89</v>
      </c>
      <c r="B1435" s="403" t="s">
        <v>90</v>
      </c>
      <c r="C1435" s="402" t="s">
        <v>59</v>
      </c>
      <c r="D1435" s="137"/>
      <c r="E1435" s="273">
        <f>E1433*1.09</f>
        <v>28.48184826609042</v>
      </c>
    </row>
    <row r="1436" spans="1:5" ht="15" hidden="1">
      <c r="A1436" s="409"/>
      <c r="B1436" s="410"/>
      <c r="C1436" s="384" t="s">
        <v>292</v>
      </c>
      <c r="D1436" s="137"/>
      <c r="E1436" s="411">
        <f>E1435/3.4528</f>
        <v>8.248913422755567</v>
      </c>
    </row>
    <row r="1437" spans="1:5" ht="15" hidden="1">
      <c r="A1437" s="408" t="s">
        <v>91</v>
      </c>
      <c r="B1437" s="403" t="s">
        <v>92</v>
      </c>
      <c r="C1437" s="402" t="s">
        <v>59</v>
      </c>
      <c r="D1437" s="137"/>
      <c r="E1437" s="273">
        <f>E1343</f>
        <v>25.57</v>
      </c>
    </row>
    <row r="1438" spans="1:5" ht="15" hidden="1">
      <c r="A1438" s="406"/>
      <c r="B1438" s="405"/>
      <c r="C1438" s="384" t="s">
        <v>292</v>
      </c>
      <c r="D1438" s="137"/>
      <c r="E1438" s="411">
        <f>E1437/3.4528</f>
        <v>7.405583873957369</v>
      </c>
    </row>
    <row r="1439" spans="1:5" ht="15" hidden="1">
      <c r="A1439" s="404" t="s">
        <v>93</v>
      </c>
      <c r="B1439" s="405" t="s">
        <v>94</v>
      </c>
      <c r="C1439" s="134" t="s">
        <v>95</v>
      </c>
      <c r="D1439" s="137"/>
      <c r="E1439" s="273">
        <f>(E1430/E1437)*100-100</f>
        <v>2.190598451060467</v>
      </c>
    </row>
    <row r="1440" spans="1:5" ht="15" hidden="1">
      <c r="A1440" s="347" t="s">
        <v>96</v>
      </c>
      <c r="B1440" s="136" t="s">
        <v>97</v>
      </c>
      <c r="C1440" s="138" t="s">
        <v>98</v>
      </c>
      <c r="D1440" s="139"/>
      <c r="E1440" s="362">
        <v>1.009</v>
      </c>
    </row>
    <row r="1441" spans="1:5" ht="15" hidden="1">
      <c r="A1441" s="347" t="s">
        <v>99</v>
      </c>
      <c r="B1441" s="136" t="s">
        <v>100</v>
      </c>
      <c r="C1441" s="133" t="s">
        <v>98</v>
      </c>
      <c r="D1441" s="70"/>
      <c r="E1441" s="362">
        <v>0.748891</v>
      </c>
    </row>
    <row r="1442" spans="1:5" ht="15.75" hidden="1" thickBot="1">
      <c r="A1442" s="24" t="s">
        <v>101</v>
      </c>
      <c r="B1442" s="25" t="s">
        <v>102</v>
      </c>
      <c r="C1442" s="349" t="s">
        <v>98</v>
      </c>
      <c r="D1442" s="350"/>
      <c r="E1442" s="351">
        <v>0</v>
      </c>
    </row>
    <row r="1443" ht="15" hidden="1"/>
    <row r="1444" ht="15" hidden="1"/>
    <row r="1445" spans="2:4" ht="15" hidden="1">
      <c r="B1445" s="364"/>
      <c r="C1445" s="365"/>
      <c r="D1445" s="365"/>
    </row>
    <row r="1446" ht="15" hidden="1"/>
    <row r="1447" ht="15" hidden="1"/>
    <row r="1448" ht="15" hidden="1"/>
    <row r="1449" ht="15" hidden="1"/>
    <row r="1450" ht="15" hidden="1"/>
    <row r="1451" spans="2:4" ht="15" hidden="1">
      <c r="B1451" t="s">
        <v>189</v>
      </c>
      <c r="C1451" t="s">
        <v>193</v>
      </c>
      <c r="D1451" s="155" t="s">
        <v>190</v>
      </c>
    </row>
    <row r="1452" ht="15" hidden="1">
      <c r="C1452" s="162" t="s">
        <v>194</v>
      </c>
    </row>
    <row r="1453" ht="15" hidden="1"/>
    <row r="1454" spans="1:5" ht="15">
      <c r="A1454" s="140" t="s">
        <v>0</v>
      </c>
      <c r="B1454" s="140"/>
      <c r="C1454" s="140"/>
      <c r="D1454" s="140"/>
      <c r="E1454" s="140" t="s">
        <v>107</v>
      </c>
    </row>
    <row r="1455" spans="1:5" ht="15">
      <c r="A1455" s="140" t="s">
        <v>1</v>
      </c>
      <c r="B1455" s="140"/>
      <c r="C1455" s="140"/>
      <c r="D1455" s="140" t="s">
        <v>178</v>
      </c>
      <c r="E1455" s="3"/>
    </row>
    <row r="1456" spans="1:5" ht="15">
      <c r="A1456" s="140" t="s">
        <v>2</v>
      </c>
      <c r="B1456" s="140"/>
      <c r="C1456" s="140"/>
      <c r="D1456" s="140"/>
      <c r="E1456" s="5"/>
    </row>
    <row r="1457" spans="1:5" ht="15">
      <c r="A1457" s="140" t="s">
        <v>3</v>
      </c>
      <c r="B1457" s="140"/>
      <c r="C1457" s="140"/>
      <c r="D1457" s="140" t="s">
        <v>168</v>
      </c>
      <c r="E1457" s="3"/>
    </row>
    <row r="1458" spans="1:5" ht="15">
      <c r="A1458" s="140" t="s">
        <v>4</v>
      </c>
      <c r="B1458" s="140"/>
      <c r="C1458" s="140"/>
      <c r="D1458" s="140" t="s">
        <v>169</v>
      </c>
      <c r="E1458" s="3"/>
    </row>
    <row r="1459" spans="1:5" ht="15">
      <c r="A1459" s="161" t="s">
        <v>192</v>
      </c>
      <c r="B1459" s="140"/>
      <c r="C1459" s="140"/>
      <c r="D1459" s="140"/>
      <c r="E1459" s="3"/>
    </row>
    <row r="1460" spans="1:5" ht="15">
      <c r="A1460" s="140" t="s">
        <v>5</v>
      </c>
      <c r="B1460" s="140"/>
      <c r="C1460" s="140"/>
      <c r="D1460" s="140" t="s">
        <v>299</v>
      </c>
      <c r="E1460" s="3"/>
    </row>
    <row r="1461" spans="1:5" ht="15">
      <c r="A1461" s="1"/>
      <c r="B1461" s="1"/>
      <c r="C1461" s="1"/>
      <c r="D1461" s="1"/>
      <c r="E1461" s="1"/>
    </row>
    <row r="1462" spans="1:4" ht="15.75">
      <c r="A1462" s="150" t="s">
        <v>296</v>
      </c>
      <c r="B1462" s="150" t="s">
        <v>303</v>
      </c>
      <c r="C1462" s="2"/>
      <c r="D1462" s="2"/>
    </row>
    <row r="1463" spans="1:4" ht="15.75">
      <c r="A1463" s="150"/>
      <c r="B1463" s="150"/>
      <c r="C1463" s="363">
        <v>41961</v>
      </c>
      <c r="D1463" s="2"/>
    </row>
    <row r="1464" spans="1:4" ht="15.75">
      <c r="A1464" s="150"/>
      <c r="B1464" s="150"/>
      <c r="C1464" s="160" t="s">
        <v>191</v>
      </c>
      <c r="D1464" s="2"/>
    </row>
    <row r="1465" spans="1:5" ht="15">
      <c r="A1465" s="2" t="s">
        <v>6</v>
      </c>
      <c r="B1465" s="2"/>
      <c r="C1465" s="2"/>
      <c r="D1465" s="2"/>
      <c r="E1465" s="2"/>
    </row>
    <row r="1466" spans="1:5" ht="15">
      <c r="A1466" s="1" t="s">
        <v>260</v>
      </c>
      <c r="B1466" s="1"/>
      <c r="C1466" s="1"/>
      <c r="D1466" s="1"/>
      <c r="E1466" s="1"/>
    </row>
    <row r="1467" spans="1:5" ht="15">
      <c r="A1467" s="1" t="s">
        <v>7</v>
      </c>
      <c r="B1467" s="1"/>
      <c r="C1467" s="1"/>
      <c r="D1467" s="1"/>
      <c r="E1467" s="1"/>
    </row>
    <row r="1468" spans="1:5" ht="15.75" thickBot="1">
      <c r="A1468" s="359" t="s">
        <v>281</v>
      </c>
      <c r="B1468" s="359"/>
      <c r="C1468" s="359"/>
      <c r="D1468" s="359"/>
      <c r="E1468" s="360"/>
    </row>
    <row r="1469" spans="1:5" ht="15">
      <c r="A1469" s="253" t="s">
        <v>8</v>
      </c>
      <c r="B1469" s="254" t="s">
        <v>9</v>
      </c>
      <c r="C1469" s="254" t="s">
        <v>10</v>
      </c>
      <c r="D1469" s="254" t="s">
        <v>11</v>
      </c>
      <c r="E1469" s="256" t="s">
        <v>12</v>
      </c>
    </row>
    <row r="1470" spans="1:5" ht="15">
      <c r="A1470" s="257">
        <v>1</v>
      </c>
      <c r="B1470" s="26">
        <v>2</v>
      </c>
      <c r="C1470" s="26">
        <v>3</v>
      </c>
      <c r="D1470" s="26">
        <v>4</v>
      </c>
      <c r="E1470" s="258">
        <v>5</v>
      </c>
    </row>
    <row r="1471" spans="1:5" ht="15">
      <c r="A1471" s="413" t="s">
        <v>13</v>
      </c>
      <c r="B1471" s="414" t="s">
        <v>14</v>
      </c>
      <c r="C1471" s="28"/>
      <c r="D1471" s="28"/>
      <c r="E1471" s="325"/>
    </row>
    <row r="1472" spans="1:5" ht="17.25">
      <c r="A1472" s="417" t="s">
        <v>15</v>
      </c>
      <c r="B1472" s="423" t="s">
        <v>183</v>
      </c>
      <c r="C1472" s="402" t="s">
        <v>59</v>
      </c>
      <c r="D1472" s="326" t="s">
        <v>179</v>
      </c>
      <c r="E1472" s="327">
        <f>E1474+E1476</f>
        <v>19.234552397413022</v>
      </c>
    </row>
    <row r="1473" spans="1:5" ht="15.75">
      <c r="A1473" s="418"/>
      <c r="B1473" s="424"/>
      <c r="C1473" s="412" t="s">
        <v>292</v>
      </c>
      <c r="D1473" s="368"/>
      <c r="E1473" s="377">
        <f>E1472/3.4528</f>
        <v>5.57071142186429</v>
      </c>
    </row>
    <row r="1474" spans="1:5" ht="18.75">
      <c r="A1474" s="419" t="s">
        <v>16</v>
      </c>
      <c r="B1474" s="42" t="s">
        <v>18</v>
      </c>
      <c r="C1474" s="388" t="s">
        <v>59</v>
      </c>
      <c r="D1474" s="370" t="s">
        <v>171</v>
      </c>
      <c r="E1474" s="371">
        <v>4.57</v>
      </c>
    </row>
    <row r="1475" spans="1:5" ht="15.75">
      <c r="A1475" s="420"/>
      <c r="B1475" s="425"/>
      <c r="C1475" s="384" t="s">
        <v>292</v>
      </c>
      <c r="D1475" s="373"/>
      <c r="E1475" s="378">
        <f>E1474/3.4528</f>
        <v>1.323563484708063</v>
      </c>
    </row>
    <row r="1476" spans="1:5" ht="33">
      <c r="A1476" s="421" t="s">
        <v>17</v>
      </c>
      <c r="B1476" s="453" t="s">
        <v>19</v>
      </c>
      <c r="C1476" s="366" t="s">
        <v>59</v>
      </c>
      <c r="D1476" s="375" t="s">
        <v>278</v>
      </c>
      <c r="E1476" s="367">
        <f>0.29+((4325*E1482+226*E1490+106.1*E1486+509*E1494)/(44.84*1000))/10</f>
        <v>14.664552397413022</v>
      </c>
    </row>
    <row r="1477" spans="1:5" ht="15">
      <c r="A1477" s="422"/>
      <c r="B1477" s="427"/>
      <c r="C1477" s="384" t="s">
        <v>292</v>
      </c>
      <c r="D1477" s="376"/>
      <c r="E1477" s="379">
        <f>E1476/3.4528</f>
        <v>4.247147937156227</v>
      </c>
    </row>
    <row r="1478" spans="1:5" ht="15">
      <c r="A1478" s="415" t="s">
        <v>21</v>
      </c>
      <c r="B1478" s="416" t="s">
        <v>22</v>
      </c>
      <c r="C1478" s="34"/>
      <c r="D1478" s="374"/>
      <c r="E1478" s="331"/>
    </row>
    <row r="1479" spans="1:5" ht="15">
      <c r="A1479" s="332" t="s">
        <v>23</v>
      </c>
      <c r="B1479" s="54" t="s">
        <v>24</v>
      </c>
      <c r="C1479" s="55"/>
      <c r="D1479" s="55"/>
      <c r="E1479" s="333"/>
    </row>
    <row r="1480" spans="1:5" ht="15">
      <c r="A1480" s="328" t="s">
        <v>25</v>
      </c>
      <c r="B1480" s="26" t="s">
        <v>26</v>
      </c>
      <c r="C1480" s="36" t="s">
        <v>41</v>
      </c>
      <c r="D1480" s="26"/>
      <c r="E1480" s="334">
        <v>1053</v>
      </c>
    </row>
    <row r="1481" spans="1:5" ht="15">
      <c r="A1481" s="328" t="s">
        <v>27</v>
      </c>
      <c r="B1481" s="26" t="s">
        <v>28</v>
      </c>
      <c r="C1481" s="7" t="s">
        <v>41</v>
      </c>
      <c r="D1481" s="26"/>
      <c r="E1481" s="258">
        <v>313.23</v>
      </c>
    </row>
    <row r="1482" spans="1:5" ht="15">
      <c r="A1482" s="328" t="s">
        <v>29</v>
      </c>
      <c r="B1482" s="42" t="s">
        <v>30</v>
      </c>
      <c r="C1482" s="43" t="s">
        <v>41</v>
      </c>
      <c r="D1482" s="26"/>
      <c r="E1482" s="335">
        <f>E1480+E1481</f>
        <v>1366.23</v>
      </c>
    </row>
    <row r="1483" spans="1:5" ht="15">
      <c r="A1483" s="336" t="s">
        <v>31</v>
      </c>
      <c r="B1483" s="45" t="s">
        <v>265</v>
      </c>
      <c r="C1483" s="46"/>
      <c r="D1483" s="46"/>
      <c r="E1483" s="337"/>
    </row>
    <row r="1484" spans="1:5" ht="15">
      <c r="A1484" s="328" t="s">
        <v>35</v>
      </c>
      <c r="B1484" s="26" t="s">
        <v>26</v>
      </c>
      <c r="C1484" s="44" t="s">
        <v>33</v>
      </c>
      <c r="D1484" s="26"/>
      <c r="E1484" s="334"/>
    </row>
    <row r="1485" spans="1:5" ht="15">
      <c r="A1485" s="328" t="s">
        <v>36</v>
      </c>
      <c r="B1485" s="26" t="s">
        <v>28</v>
      </c>
      <c r="C1485" s="6" t="s">
        <v>33</v>
      </c>
      <c r="D1485" s="26"/>
      <c r="E1485" s="334"/>
    </row>
    <row r="1486" spans="1:5" ht="15">
      <c r="A1486" s="328" t="s">
        <v>37</v>
      </c>
      <c r="B1486" s="26" t="s">
        <v>30</v>
      </c>
      <c r="C1486" s="48" t="s">
        <v>33</v>
      </c>
      <c r="D1486" s="26"/>
      <c r="E1486" s="335">
        <v>593.75</v>
      </c>
    </row>
    <row r="1487" spans="1:5" ht="15">
      <c r="A1487" s="336" t="s">
        <v>31</v>
      </c>
      <c r="B1487" s="45" t="s">
        <v>266</v>
      </c>
      <c r="C1487" s="46"/>
      <c r="D1487" s="46"/>
      <c r="E1487" s="337"/>
    </row>
    <row r="1488" spans="1:5" ht="15">
      <c r="A1488" s="328" t="s">
        <v>35</v>
      </c>
      <c r="B1488" s="26" t="s">
        <v>26</v>
      </c>
      <c r="C1488" s="44" t="s">
        <v>33</v>
      </c>
      <c r="D1488" s="26"/>
      <c r="E1488" s="334"/>
    </row>
    <row r="1489" spans="1:5" ht="15">
      <c r="A1489" s="328" t="s">
        <v>36</v>
      </c>
      <c r="B1489" s="26" t="s">
        <v>28</v>
      </c>
      <c r="C1489" s="6" t="s">
        <v>33</v>
      </c>
      <c r="D1489" s="26"/>
      <c r="E1489" s="334"/>
    </row>
    <row r="1490" spans="1:5" ht="15">
      <c r="A1490" s="328" t="s">
        <v>37</v>
      </c>
      <c r="B1490" s="26" t="s">
        <v>30</v>
      </c>
      <c r="C1490" s="48" t="s">
        <v>33</v>
      </c>
      <c r="D1490" s="26"/>
      <c r="E1490" s="335">
        <v>592.37</v>
      </c>
    </row>
    <row r="1491" spans="1:5" ht="15">
      <c r="A1491" s="338" t="s">
        <v>34</v>
      </c>
      <c r="B1491" s="50" t="s">
        <v>103</v>
      </c>
      <c r="C1491" s="51"/>
      <c r="D1491" s="51"/>
      <c r="E1491" s="339"/>
    </row>
    <row r="1492" spans="1:5" ht="15">
      <c r="A1492" s="340" t="s">
        <v>38</v>
      </c>
      <c r="B1492" s="49" t="s">
        <v>26</v>
      </c>
      <c r="C1492" s="44" t="s">
        <v>33</v>
      </c>
      <c r="D1492" s="26"/>
      <c r="E1492" s="334">
        <f>Lapas3!D1360</f>
        <v>0</v>
      </c>
    </row>
    <row r="1493" spans="1:5" ht="15">
      <c r="A1493" s="340" t="s">
        <v>39</v>
      </c>
      <c r="B1493" s="26" t="s">
        <v>28</v>
      </c>
      <c r="C1493" s="6" t="s">
        <v>33</v>
      </c>
      <c r="D1493" s="26"/>
      <c r="E1493" s="258"/>
    </row>
    <row r="1494" spans="1:5" ht="15">
      <c r="A1494" s="23" t="s">
        <v>40</v>
      </c>
      <c r="B1494" s="42" t="s">
        <v>30</v>
      </c>
      <c r="C1494" s="48" t="s">
        <v>33</v>
      </c>
      <c r="D1494" s="26"/>
      <c r="E1494" s="335">
        <v>667.45</v>
      </c>
    </row>
    <row r="1495" spans="1:5" ht="15">
      <c r="A1495" s="341" t="s">
        <v>42</v>
      </c>
      <c r="B1495" s="58" t="s">
        <v>43</v>
      </c>
      <c r="C1495" s="59"/>
      <c r="D1495" s="59"/>
      <c r="E1495" s="342"/>
    </row>
    <row r="1496" spans="1:5" ht="15">
      <c r="A1496" s="257" t="s">
        <v>44</v>
      </c>
      <c r="B1496" s="26" t="s">
        <v>104</v>
      </c>
      <c r="C1496" s="26"/>
      <c r="D1496" s="26"/>
      <c r="E1496" s="343" t="s">
        <v>106</v>
      </c>
    </row>
    <row r="1497" spans="1:5" ht="15">
      <c r="A1497" s="257" t="s">
        <v>45</v>
      </c>
      <c r="B1497" s="26" t="s">
        <v>105</v>
      </c>
      <c r="C1497" s="13" t="s">
        <v>59</v>
      </c>
      <c r="D1497" s="26"/>
      <c r="E1497" s="258">
        <v>0</v>
      </c>
    </row>
    <row r="1498" spans="1:5" ht="17.25">
      <c r="A1498" s="344" t="s">
        <v>46</v>
      </c>
      <c r="B1498" s="144" t="s">
        <v>172</v>
      </c>
      <c r="C1498" s="148" t="s">
        <v>59</v>
      </c>
      <c r="D1498" s="149" t="s">
        <v>181</v>
      </c>
      <c r="E1498" s="352">
        <f>E1499+E1500</f>
        <v>19.234552397413022</v>
      </c>
    </row>
    <row r="1499" spans="1:5" ht="18.75">
      <c r="A1499" s="257" t="s">
        <v>48</v>
      </c>
      <c r="B1499" s="26" t="s">
        <v>49</v>
      </c>
      <c r="C1499" s="61" t="s">
        <v>59</v>
      </c>
      <c r="D1499" s="130" t="s">
        <v>173</v>
      </c>
      <c r="E1499" s="334">
        <f>E1474</f>
        <v>4.57</v>
      </c>
    </row>
    <row r="1500" spans="1:5" ht="33">
      <c r="A1500" s="329" t="s">
        <v>50</v>
      </c>
      <c r="B1500" s="39" t="s">
        <v>51</v>
      </c>
      <c r="C1500" s="30" t="s">
        <v>59</v>
      </c>
      <c r="D1500" s="62" t="s">
        <v>278</v>
      </c>
      <c r="E1500" s="346">
        <f>E1476</f>
        <v>14.664552397413022</v>
      </c>
    </row>
    <row r="1501" spans="1:5" ht="15">
      <c r="A1501" s="257" t="s">
        <v>52</v>
      </c>
      <c r="B1501" s="63" t="s">
        <v>53</v>
      </c>
      <c r="C1501" s="37"/>
      <c r="D1501" s="37"/>
      <c r="E1501" s="331"/>
    </row>
    <row r="1502" spans="1:5" ht="15">
      <c r="A1502" s="257" t="s">
        <v>54</v>
      </c>
      <c r="B1502" s="26" t="s">
        <v>55</v>
      </c>
      <c r="C1502" s="13" t="s">
        <v>56</v>
      </c>
      <c r="D1502" s="26"/>
      <c r="E1502" s="258">
        <v>33.34</v>
      </c>
    </row>
    <row r="1503" spans="1:5" ht="15">
      <c r="A1503" s="257" t="s">
        <v>57</v>
      </c>
      <c r="B1503" s="26" t="s">
        <v>58</v>
      </c>
      <c r="C1503" s="13" t="s">
        <v>59</v>
      </c>
      <c r="D1503" s="64" t="s">
        <v>47</v>
      </c>
      <c r="E1503" s="334">
        <f>E1500</f>
        <v>14.664552397413022</v>
      </c>
    </row>
    <row r="1504" spans="1:5" ht="15">
      <c r="A1504" s="324" t="s">
        <v>60</v>
      </c>
      <c r="B1504" s="459" t="s">
        <v>61</v>
      </c>
      <c r="C1504" s="460"/>
      <c r="D1504" s="460"/>
      <c r="E1504" s="461"/>
    </row>
    <row r="1505" spans="1:5" ht="17.25">
      <c r="A1505" s="395" t="s">
        <v>62</v>
      </c>
      <c r="B1505" s="385" t="s">
        <v>182</v>
      </c>
      <c r="C1505" s="386" t="s">
        <v>59</v>
      </c>
      <c r="D1505" s="381" t="s">
        <v>180</v>
      </c>
      <c r="E1505" s="380">
        <f>E1507+E1509</f>
        <v>6.553674450991231</v>
      </c>
    </row>
    <row r="1506" spans="1:5" ht="15.75">
      <c r="A1506" s="387"/>
      <c r="B1506" s="396"/>
      <c r="C1506" s="384" t="s">
        <v>292</v>
      </c>
      <c r="D1506" s="383"/>
      <c r="E1506" s="377">
        <f>E1505/3.4528</f>
        <v>1.8980753159729007</v>
      </c>
    </row>
    <row r="1507" spans="1:5" ht="18.75">
      <c r="A1507" s="391" t="s">
        <v>63</v>
      </c>
      <c r="B1507" s="397" t="s">
        <v>64</v>
      </c>
      <c r="C1507" s="388" t="s">
        <v>59</v>
      </c>
      <c r="D1507" s="370" t="s">
        <v>174</v>
      </c>
      <c r="E1507" s="331">
        <v>2.44</v>
      </c>
    </row>
    <row r="1508" spans="1:5" ht="15.75">
      <c r="A1508" s="392"/>
      <c r="B1508" s="398"/>
      <c r="C1508" s="384" t="s">
        <v>292</v>
      </c>
      <c r="D1508" s="372"/>
      <c r="E1508" s="377">
        <f>E1507/3.4528</f>
        <v>0.7066728452270621</v>
      </c>
    </row>
    <row r="1509" spans="1:5" ht="18.75">
      <c r="A1509" s="391" t="s">
        <v>65</v>
      </c>
      <c r="B1509" s="399" t="s">
        <v>66</v>
      </c>
      <c r="C1509" s="388" t="s">
        <v>59</v>
      </c>
      <c r="D1509" s="393" t="s">
        <v>279</v>
      </c>
      <c r="E1509" s="382">
        <f>0.41+(7.24*E1472/37.6)</f>
        <v>4.113674450991231</v>
      </c>
    </row>
    <row r="1510" spans="1:5" ht="15.75">
      <c r="A1510" s="392"/>
      <c r="B1510" s="400"/>
      <c r="C1510" s="384" t="s">
        <v>292</v>
      </c>
      <c r="D1510" s="394"/>
      <c r="E1510" s="377">
        <f>E1509/3.4528</f>
        <v>1.1914024707458384</v>
      </c>
    </row>
    <row r="1511" spans="1:5" ht="15">
      <c r="A1511" s="389" t="s">
        <v>67</v>
      </c>
      <c r="B1511" s="390" t="s">
        <v>68</v>
      </c>
      <c r="C1511" s="11"/>
      <c r="D1511" s="49"/>
      <c r="E1511" s="258"/>
    </row>
    <row r="1512" spans="1:5" ht="15">
      <c r="A1512" s="14" t="s">
        <v>69</v>
      </c>
      <c r="B1512" s="19" t="s">
        <v>55</v>
      </c>
      <c r="C1512" s="12" t="s">
        <v>56</v>
      </c>
      <c r="D1512" s="26"/>
      <c r="E1512" s="334">
        <v>16.1</v>
      </c>
    </row>
    <row r="1513" spans="1:5" ht="18.75">
      <c r="A1513" s="14" t="s">
        <v>70</v>
      </c>
      <c r="B1513" s="19" t="s">
        <v>71</v>
      </c>
      <c r="C1513" s="13" t="s">
        <v>59</v>
      </c>
      <c r="D1513" s="130" t="s">
        <v>176</v>
      </c>
      <c r="E1513" s="334">
        <f>E1509</f>
        <v>4.113674450991231</v>
      </c>
    </row>
    <row r="1514" spans="1:5" ht="15">
      <c r="A1514" s="347" t="s">
        <v>72</v>
      </c>
      <c r="B1514" s="454" t="s">
        <v>73</v>
      </c>
      <c r="C1514" s="455"/>
      <c r="D1514" s="455"/>
      <c r="E1514" s="456"/>
    </row>
    <row r="1515" spans="1:5" ht="15">
      <c r="A1515" s="457" t="s">
        <v>79</v>
      </c>
      <c r="B1515" s="20" t="s">
        <v>74</v>
      </c>
      <c r="C1515" s="13" t="s">
        <v>59</v>
      </c>
      <c r="D1515" s="132" t="s">
        <v>106</v>
      </c>
      <c r="E1515" s="264">
        <v>0.31</v>
      </c>
    </row>
    <row r="1516" spans="1:5" ht="15">
      <c r="A1516" s="458"/>
      <c r="B1516" s="21" t="s">
        <v>75</v>
      </c>
      <c r="C1516" s="61" t="s">
        <v>76</v>
      </c>
      <c r="D1516" s="132" t="s">
        <v>106</v>
      </c>
      <c r="E1516" s="264">
        <v>2.34</v>
      </c>
    </row>
    <row r="1517" spans="1:5" ht="15.75" thickBot="1">
      <c r="A1517" s="458"/>
      <c r="B1517" s="21" t="s">
        <v>300</v>
      </c>
      <c r="C1517" s="131" t="s">
        <v>78</v>
      </c>
      <c r="D1517" s="132" t="s">
        <v>106</v>
      </c>
      <c r="E1517" s="264">
        <v>46.34</v>
      </c>
    </row>
    <row r="1518" spans="1:5" ht="15">
      <c r="A1518" s="347" t="s">
        <v>80</v>
      </c>
      <c r="B1518" s="135" t="s">
        <v>81</v>
      </c>
      <c r="C1518" s="13" t="s">
        <v>59</v>
      </c>
      <c r="D1518" s="70"/>
      <c r="E1518" s="264">
        <v>-0.07</v>
      </c>
    </row>
    <row r="1519" spans="1:5" ht="15">
      <c r="A1519" s="347" t="s">
        <v>82</v>
      </c>
      <c r="B1519" s="135" t="s">
        <v>83</v>
      </c>
      <c r="C1519" s="13" t="s">
        <v>59</v>
      </c>
      <c r="D1519" s="70"/>
      <c r="E1519" s="264">
        <v>-0.14</v>
      </c>
    </row>
    <row r="1520" spans="1:5" ht="15">
      <c r="A1520" s="408" t="s">
        <v>84</v>
      </c>
      <c r="B1520" s="403" t="s">
        <v>267</v>
      </c>
      <c r="C1520" s="401" t="s">
        <v>59</v>
      </c>
      <c r="D1520" s="70"/>
      <c r="E1520" s="272">
        <f>19.23+6.55+0.31-0.21</f>
        <v>25.88</v>
      </c>
    </row>
    <row r="1521" spans="1:5" ht="15">
      <c r="A1521" s="406"/>
      <c r="B1521" s="405"/>
      <c r="C1521" s="384" t="s">
        <v>292</v>
      </c>
      <c r="D1521" s="70"/>
      <c r="E1521" s="411">
        <f>E1520/3.4528</f>
        <v>7.495366079703429</v>
      </c>
    </row>
    <row r="1522" spans="1:5" ht="15">
      <c r="A1522" s="407" t="s">
        <v>85</v>
      </c>
      <c r="B1522" s="135" t="s">
        <v>86</v>
      </c>
      <c r="C1522" s="401" t="s">
        <v>59</v>
      </c>
      <c r="D1522" s="70"/>
      <c r="E1522" s="264">
        <v>0</v>
      </c>
    </row>
    <row r="1523" spans="1:5" ht="15">
      <c r="A1523" s="408" t="s">
        <v>87</v>
      </c>
      <c r="B1523" s="403" t="s">
        <v>88</v>
      </c>
      <c r="C1523" s="402" t="s">
        <v>59</v>
      </c>
      <c r="D1523" s="137"/>
      <c r="E1523" s="272">
        <f>E1520</f>
        <v>25.88</v>
      </c>
    </row>
    <row r="1524" spans="1:5" ht="15">
      <c r="A1524" s="406"/>
      <c r="B1524" s="405"/>
      <c r="C1524" s="384" t="s">
        <v>292</v>
      </c>
      <c r="D1524" s="137"/>
      <c r="E1524" s="411">
        <f>E1523/3.4528</f>
        <v>7.495366079703429</v>
      </c>
    </row>
    <row r="1525" spans="1:5" ht="15">
      <c r="A1525" s="408" t="s">
        <v>89</v>
      </c>
      <c r="B1525" s="403" t="s">
        <v>90</v>
      </c>
      <c r="C1525" s="402" t="s">
        <v>59</v>
      </c>
      <c r="D1525" s="137"/>
      <c r="E1525" s="273">
        <f>E1523*1.09</f>
        <v>28.209200000000003</v>
      </c>
    </row>
    <row r="1526" spans="1:5" ht="15">
      <c r="A1526" s="409"/>
      <c r="B1526" s="410"/>
      <c r="C1526" s="384" t="s">
        <v>292</v>
      </c>
      <c r="D1526" s="137"/>
      <c r="E1526" s="411">
        <f>E1525/3.4528</f>
        <v>8.169949026876738</v>
      </c>
    </row>
    <row r="1527" spans="1:5" ht="15">
      <c r="A1527" s="408" t="s">
        <v>91</v>
      </c>
      <c r="B1527" s="403" t="s">
        <v>92</v>
      </c>
      <c r="C1527" s="402" t="s">
        <v>59</v>
      </c>
      <c r="D1527" s="137"/>
      <c r="E1527" s="273">
        <f>E1433</f>
        <v>26.130136023936164</v>
      </c>
    </row>
    <row r="1528" spans="1:5" ht="15">
      <c r="A1528" s="406"/>
      <c r="B1528" s="405"/>
      <c r="C1528" s="384" t="s">
        <v>292</v>
      </c>
      <c r="D1528" s="137"/>
      <c r="E1528" s="411">
        <f>E1527/3.4528</f>
        <v>7.5678104795922625</v>
      </c>
    </row>
    <row r="1529" spans="1:5" ht="15">
      <c r="A1529" s="404" t="s">
        <v>93</v>
      </c>
      <c r="B1529" s="405" t="s">
        <v>94</v>
      </c>
      <c r="C1529" s="134" t="s">
        <v>95</v>
      </c>
      <c r="D1529" s="137"/>
      <c r="E1529" s="273">
        <f>(E1520/E1527)*100-100</f>
        <v>-0.9572702710274115</v>
      </c>
    </row>
    <row r="1530" spans="1:5" ht="15">
      <c r="A1530" s="347" t="s">
        <v>96</v>
      </c>
      <c r="B1530" s="136" t="s">
        <v>97</v>
      </c>
      <c r="C1530" s="138" t="s">
        <v>98</v>
      </c>
      <c r="D1530" s="139"/>
      <c r="E1530" s="362">
        <v>2.4</v>
      </c>
    </row>
    <row r="1531" spans="1:5" ht="15">
      <c r="A1531" s="347" t="s">
        <v>99</v>
      </c>
      <c r="B1531" s="136" t="s">
        <v>100</v>
      </c>
      <c r="C1531" s="133" t="s">
        <v>98</v>
      </c>
      <c r="D1531" s="70"/>
      <c r="E1531" s="362">
        <v>1.9</v>
      </c>
    </row>
    <row r="1532" spans="1:5" ht="15.75" thickBot="1">
      <c r="A1532" s="24" t="s">
        <v>101</v>
      </c>
      <c r="B1532" s="25" t="s">
        <v>102</v>
      </c>
      <c r="C1532" s="349" t="s">
        <v>98</v>
      </c>
      <c r="D1532" s="350"/>
      <c r="E1532" s="351">
        <v>0</v>
      </c>
    </row>
    <row r="1535" spans="2:4" ht="15">
      <c r="B1535" s="364"/>
      <c r="C1535" s="365"/>
      <c r="D1535" s="365"/>
    </row>
    <row r="1541" spans="2:4" ht="15">
      <c r="B1541" t="s">
        <v>189</v>
      </c>
      <c r="C1541" t="s">
        <v>193</v>
      </c>
      <c r="D1541" s="155" t="s">
        <v>190</v>
      </c>
    </row>
    <row r="1542" ht="15">
      <c r="C1542" s="162" t="s">
        <v>194</v>
      </c>
    </row>
  </sheetData>
  <sheetProtection/>
  <mergeCells count="51">
    <mergeCell ref="B1504:E1504"/>
    <mergeCell ref="B1514:E1514"/>
    <mergeCell ref="A1515:A1517"/>
    <mergeCell ref="A416:A418"/>
    <mergeCell ref="B958:E958"/>
    <mergeCell ref="B965:E965"/>
    <mergeCell ref="A966:A968"/>
    <mergeCell ref="B867:E867"/>
    <mergeCell ref="B44:E44"/>
    <mergeCell ref="B51:E51"/>
    <mergeCell ref="A52:A54"/>
    <mergeCell ref="B135:E135"/>
    <mergeCell ref="B142:E142"/>
    <mergeCell ref="A875:A877"/>
    <mergeCell ref="B317:E317"/>
    <mergeCell ref="B233:E233"/>
    <mergeCell ref="A234:A236"/>
    <mergeCell ref="B408:E408"/>
    <mergeCell ref="B415:E415"/>
    <mergeCell ref="B324:E324"/>
    <mergeCell ref="B874:E874"/>
    <mergeCell ref="B594:E594"/>
    <mergeCell ref="A602:A604"/>
    <mergeCell ref="B506:E506"/>
    <mergeCell ref="A507:A509"/>
    <mergeCell ref="B1414:E1414"/>
    <mergeCell ref="B685:E685"/>
    <mergeCell ref="B692:E692"/>
    <mergeCell ref="A693:A695"/>
    <mergeCell ref="B1049:E1049"/>
    <mergeCell ref="A143:A145"/>
    <mergeCell ref="B1140:E1140"/>
    <mergeCell ref="B601:E601"/>
    <mergeCell ref="A325:A327"/>
    <mergeCell ref="B226:E226"/>
    <mergeCell ref="B1324:E1324"/>
    <mergeCell ref="B499:E499"/>
    <mergeCell ref="A1148:A1150"/>
    <mergeCell ref="B1334:E1334"/>
    <mergeCell ref="A1335:A1337"/>
    <mergeCell ref="A1245:A1247"/>
    <mergeCell ref="B1147:E1147"/>
    <mergeCell ref="B1056:E1056"/>
    <mergeCell ref="B1424:E1424"/>
    <mergeCell ref="A1425:A1427"/>
    <mergeCell ref="A1057:A1059"/>
    <mergeCell ref="B776:E776"/>
    <mergeCell ref="B783:E783"/>
    <mergeCell ref="A784:A786"/>
    <mergeCell ref="B1234:E1234"/>
    <mergeCell ref="B1244:E1244"/>
  </mergeCells>
  <conditionalFormatting sqref="E20 E111 E202 E293 E384 E475 E566 E657 E748 E839 E930 E1021 E1112 E1204:E1205">
    <cfRule type="containsErrors" priority="17" dxfId="4" stopIfTrue="1">
      <formula>ISERROR(E20)</formula>
    </cfRule>
  </conditionalFormatting>
  <conditionalFormatting sqref="E1294:E1295">
    <cfRule type="containsErrors" priority="3" dxfId="4" stopIfTrue="1">
      <formula>ISERROR(E1294)</formula>
    </cfRule>
  </conditionalFormatting>
  <conditionalFormatting sqref="E1384:E1385">
    <cfRule type="containsErrors" priority="2" dxfId="4" stopIfTrue="1">
      <formula>ISERROR(E1384)</formula>
    </cfRule>
  </conditionalFormatting>
  <conditionalFormatting sqref="E1474:E1475">
    <cfRule type="containsErrors" priority="1" dxfId="4" stopIfTrue="1">
      <formula>ISERROR(E1474)</formula>
    </cfRule>
  </conditionalFormatting>
  <hyperlinks>
    <hyperlink ref="A6" r:id="rId1" display="www.anyksciusiluma.lt"/>
    <hyperlink ref="A97" r:id="rId2" display="www.anyksciusiluma.lt"/>
    <hyperlink ref="A188" r:id="rId3" display="www.anyksciusiluma.lt"/>
    <hyperlink ref="A279" r:id="rId4" display="www.anyksciusiluma.lt"/>
    <hyperlink ref="A370" r:id="rId5" display="www.anyksciusiluma.lt"/>
    <hyperlink ref="A461" r:id="rId6" display="www.anyksciusiluma.lt"/>
    <hyperlink ref="A552" r:id="rId7" display="www.anyksciusiluma.lt"/>
    <hyperlink ref="A643" r:id="rId8" display="www.anyksciusiluma.lt"/>
    <hyperlink ref="A734" r:id="rId9" display="www.anyksciusiluma.lt"/>
    <hyperlink ref="A825" r:id="rId10" display="www.anyksciusiluma.lt"/>
    <hyperlink ref="A916" r:id="rId11" display="www.anyksciusiluma.lt"/>
    <hyperlink ref="A1007" r:id="rId12" display="www.anyksciusiluma.lt"/>
    <hyperlink ref="A1098" r:id="rId13" display="www.anyksciusiluma.lt"/>
    <hyperlink ref="A1189" r:id="rId14" display="www.anyksciusiluma.lt"/>
    <hyperlink ref="A1279" r:id="rId15" display="www.anyksciusiluma.lt"/>
    <hyperlink ref="A1369" r:id="rId16" display="www.anyksciusiluma.lt"/>
    <hyperlink ref="A1459" r:id="rId17" display="www.anyksciusiluma.lt"/>
  </hyperlinks>
  <printOptions/>
  <pageMargins left="0.7874015748031497" right="0.7874015748031497" top="1.1811023622047245" bottom="0.5905511811023623" header="0.31496062992125984" footer="0.31496062992125984"/>
  <pageSetup orientation="landscape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3"/>
  <sheetViews>
    <sheetView zoomScalePageLayoutView="0" workbookViewId="0" topLeftCell="A536">
      <selection activeCell="D556" sqref="D556"/>
    </sheetView>
  </sheetViews>
  <sheetFormatPr defaultColWidth="9.140625" defaultRowHeight="15"/>
  <cols>
    <col min="1" max="1" width="7.421875" style="0" customWidth="1"/>
    <col min="2" max="2" width="57.28125" style="0" customWidth="1"/>
    <col min="3" max="3" width="12.140625" style="0" customWidth="1"/>
    <col min="4" max="4" width="34.8515625" style="0" customWidth="1"/>
  </cols>
  <sheetData>
    <row r="1" spans="1:9" ht="15" hidden="1">
      <c r="A1" s="140" t="s">
        <v>0</v>
      </c>
      <c r="B1" s="140"/>
      <c r="E1" s="140" t="s">
        <v>186</v>
      </c>
      <c r="I1" s="3" t="s">
        <v>107</v>
      </c>
    </row>
    <row r="2" spans="1:4" ht="15" hidden="1">
      <c r="A2" s="140" t="s">
        <v>1</v>
      </c>
      <c r="B2" s="140"/>
      <c r="D2" s="140" t="s">
        <v>178</v>
      </c>
    </row>
    <row r="3" spans="1:4" ht="15" hidden="1">
      <c r="A3" s="140" t="s">
        <v>2</v>
      </c>
      <c r="B3" s="140"/>
      <c r="D3" s="140" t="s">
        <v>167</v>
      </c>
    </row>
    <row r="4" spans="1:4" ht="15" hidden="1">
      <c r="A4" s="140" t="s">
        <v>3</v>
      </c>
      <c r="B4" s="140"/>
      <c r="D4" s="140" t="s">
        <v>168</v>
      </c>
    </row>
    <row r="5" spans="1:4" ht="15" hidden="1">
      <c r="A5" s="140" t="s">
        <v>4</v>
      </c>
      <c r="B5" s="140"/>
      <c r="D5" s="140" t="s">
        <v>169</v>
      </c>
    </row>
    <row r="6" spans="1:4" ht="15" hidden="1">
      <c r="A6" s="140" t="s">
        <v>5</v>
      </c>
      <c r="B6" s="140"/>
      <c r="D6" s="140" t="s">
        <v>170</v>
      </c>
    </row>
    <row r="7" ht="15" hidden="1"/>
    <row r="8" spans="1:9" ht="15.75" hidden="1">
      <c r="A8" s="150"/>
      <c r="B8" s="150" t="s">
        <v>185</v>
      </c>
      <c r="C8" s="150"/>
      <c r="D8" s="150"/>
      <c r="E8" s="150"/>
      <c r="F8" s="150"/>
      <c r="G8" s="150"/>
      <c r="H8" s="150"/>
      <c r="I8" s="150"/>
    </row>
    <row r="9" spans="3:4" ht="15" hidden="1">
      <c r="C9" s="157">
        <v>41479</v>
      </c>
      <c r="D9" s="151"/>
    </row>
    <row r="10" ht="15" hidden="1">
      <c r="C10" s="156" t="s">
        <v>191</v>
      </c>
    </row>
    <row r="11" spans="1:2" ht="15" hidden="1">
      <c r="A11" s="2" t="s">
        <v>6</v>
      </c>
      <c r="B11" s="2"/>
    </row>
    <row r="12" spans="1:2" ht="15" hidden="1">
      <c r="A12" s="1" t="s">
        <v>195</v>
      </c>
      <c r="B12" s="1"/>
    </row>
    <row r="13" spans="1:2" ht="15" hidden="1">
      <c r="A13" s="1" t="s">
        <v>7</v>
      </c>
      <c r="B13" s="1"/>
    </row>
    <row r="14" ht="15" hidden="1"/>
    <row r="15" spans="1:5" ht="15" hidden="1">
      <c r="A15" s="27" t="s">
        <v>8</v>
      </c>
      <c r="B15" s="27" t="s">
        <v>9</v>
      </c>
      <c r="C15" s="32" t="s">
        <v>10</v>
      </c>
      <c r="D15" s="32" t="s">
        <v>11</v>
      </c>
      <c r="E15" s="27" t="s">
        <v>12</v>
      </c>
    </row>
    <row r="16" spans="1:5" ht="15" hidden="1">
      <c r="A16" s="26">
        <v>1</v>
      </c>
      <c r="B16" s="26">
        <v>2</v>
      </c>
      <c r="C16" s="63">
        <v>3</v>
      </c>
      <c r="D16" s="63">
        <v>4</v>
      </c>
      <c r="E16" s="26">
        <v>5</v>
      </c>
    </row>
    <row r="17" spans="1:2" ht="15" hidden="1">
      <c r="A17" s="74" t="s">
        <v>13</v>
      </c>
      <c r="B17" s="10" t="s">
        <v>108</v>
      </c>
    </row>
    <row r="18" spans="1:5" ht="15" hidden="1">
      <c r="A18" s="75" t="s">
        <v>15</v>
      </c>
      <c r="B18" s="26" t="s">
        <v>109</v>
      </c>
      <c r="C18" s="65" t="s">
        <v>110</v>
      </c>
      <c r="D18" s="152" t="s">
        <v>111</v>
      </c>
      <c r="E18" s="70">
        <v>0.97</v>
      </c>
    </row>
    <row r="19" spans="1:12" ht="15" hidden="1">
      <c r="A19" s="74" t="s">
        <v>21</v>
      </c>
      <c r="B19" s="73" t="s">
        <v>112</v>
      </c>
      <c r="C19" s="69" t="s">
        <v>110</v>
      </c>
      <c r="D19" s="152" t="s">
        <v>187</v>
      </c>
      <c r="E19" s="245">
        <v>21.68</v>
      </c>
      <c r="K19" s="488"/>
      <c r="L19" s="488"/>
    </row>
    <row r="20" spans="1:5" ht="15" hidden="1">
      <c r="A20" s="76" t="s">
        <v>60</v>
      </c>
      <c r="B20" s="68" t="s">
        <v>113</v>
      </c>
      <c r="C20" s="13" t="s">
        <v>59</v>
      </c>
      <c r="D20" s="67"/>
      <c r="E20" s="245">
        <f>Lapas1!E59</f>
        <v>28.392599151430073</v>
      </c>
    </row>
    <row r="21" spans="1:5" ht="15" hidden="1">
      <c r="A21" s="77" t="s">
        <v>72</v>
      </c>
      <c r="B21" s="68" t="s">
        <v>114</v>
      </c>
      <c r="C21" s="71" t="s">
        <v>110</v>
      </c>
      <c r="D21" s="154" t="s">
        <v>188</v>
      </c>
      <c r="E21" s="70">
        <v>6.58</v>
      </c>
    </row>
    <row r="22" spans="1:5" ht="15" hidden="1">
      <c r="A22" s="82" t="s">
        <v>115</v>
      </c>
      <c r="B22" s="68" t="s">
        <v>116</v>
      </c>
      <c r="C22" s="72" t="s">
        <v>110</v>
      </c>
      <c r="D22" s="65" t="s">
        <v>188</v>
      </c>
      <c r="E22" s="153">
        <v>11.25</v>
      </c>
    </row>
    <row r="23" spans="1:5" ht="15" hidden="1">
      <c r="A23" s="83" t="s">
        <v>84</v>
      </c>
      <c r="B23" s="80" t="s">
        <v>117</v>
      </c>
      <c r="C23" s="72" t="s">
        <v>110</v>
      </c>
      <c r="D23" s="152" t="s">
        <v>121</v>
      </c>
      <c r="E23" s="247">
        <f>E18+E19</f>
        <v>22.65</v>
      </c>
    </row>
    <row r="24" spans="1:5" ht="15" hidden="1">
      <c r="A24" s="83" t="s">
        <v>85</v>
      </c>
      <c r="B24" s="81" t="s">
        <v>118</v>
      </c>
      <c r="C24" s="72" t="s">
        <v>110</v>
      </c>
      <c r="D24" s="78"/>
      <c r="E24" s="245">
        <f>E23*1.09</f>
        <v>24.6885</v>
      </c>
    </row>
    <row r="25" spans="1:5" ht="15" hidden="1">
      <c r="A25" s="83" t="s">
        <v>87</v>
      </c>
      <c r="B25" s="81" t="s">
        <v>119</v>
      </c>
      <c r="C25" s="72" t="s">
        <v>110</v>
      </c>
      <c r="D25" s="66"/>
      <c r="E25" s="246">
        <f>E20/100*51+6.58+0.01</f>
        <v>21.07022556722934</v>
      </c>
    </row>
    <row r="26" spans="1:5" ht="15" hidden="1">
      <c r="A26" s="83" t="s">
        <v>89</v>
      </c>
      <c r="B26" s="79" t="s">
        <v>120</v>
      </c>
      <c r="C26" s="84" t="s">
        <v>95</v>
      </c>
      <c r="D26" s="66"/>
      <c r="E26" s="70"/>
    </row>
    <row r="27" ht="15" hidden="1"/>
    <row r="28" ht="15" hidden="1"/>
    <row r="29" spans="2:4" ht="15" hidden="1">
      <c r="B29" t="s">
        <v>189</v>
      </c>
      <c r="C29" t="s">
        <v>193</v>
      </c>
      <c r="D29" s="155" t="s">
        <v>190</v>
      </c>
    </row>
    <row r="30" ht="15" hidden="1">
      <c r="C30" s="162" t="s">
        <v>194</v>
      </c>
    </row>
    <row r="31" ht="15" hidden="1"/>
    <row r="32" ht="15" hidden="1"/>
    <row r="33" spans="1:5" ht="15" hidden="1">
      <c r="A33" s="140" t="s">
        <v>0</v>
      </c>
      <c r="B33" s="140"/>
      <c r="E33" s="140" t="s">
        <v>186</v>
      </c>
    </row>
    <row r="34" spans="1:4" ht="15" hidden="1">
      <c r="A34" s="140" t="s">
        <v>1</v>
      </c>
      <c r="B34" s="140"/>
      <c r="D34" s="140" t="s">
        <v>178</v>
      </c>
    </row>
    <row r="35" spans="1:4" ht="15" hidden="1">
      <c r="A35" s="140" t="s">
        <v>2</v>
      </c>
      <c r="B35" s="140"/>
      <c r="D35" s="140" t="s">
        <v>167</v>
      </c>
    </row>
    <row r="36" spans="1:4" ht="15" hidden="1">
      <c r="A36" s="140" t="s">
        <v>3</v>
      </c>
      <c r="B36" s="140"/>
      <c r="D36" s="140" t="s">
        <v>168</v>
      </c>
    </row>
    <row r="37" spans="1:4" ht="15" hidden="1">
      <c r="A37" s="140" t="s">
        <v>4</v>
      </c>
      <c r="B37" s="140"/>
      <c r="D37" s="140" t="s">
        <v>169</v>
      </c>
    </row>
    <row r="38" spans="1:4" ht="15" hidden="1">
      <c r="A38" s="140" t="s">
        <v>5</v>
      </c>
      <c r="B38" s="140"/>
      <c r="D38" s="140" t="s">
        <v>170</v>
      </c>
    </row>
    <row r="39" ht="15" hidden="1"/>
    <row r="40" spans="1:5" ht="15.75" hidden="1">
      <c r="A40" s="150"/>
      <c r="B40" s="150" t="s">
        <v>231</v>
      </c>
      <c r="C40" s="150"/>
      <c r="D40" s="150"/>
      <c r="E40" s="150"/>
    </row>
    <row r="41" spans="3:4" ht="15" hidden="1">
      <c r="C41" s="157">
        <v>41506</v>
      </c>
      <c r="D41" s="151"/>
    </row>
    <row r="42" ht="15" hidden="1">
      <c r="C42" s="156" t="s">
        <v>191</v>
      </c>
    </row>
    <row r="43" spans="1:2" ht="15" hidden="1">
      <c r="A43" s="2" t="s">
        <v>6</v>
      </c>
      <c r="B43" s="2"/>
    </row>
    <row r="44" spans="1:2" ht="15" hidden="1">
      <c r="A44" s="1" t="s">
        <v>195</v>
      </c>
      <c r="B44" s="1"/>
    </row>
    <row r="45" spans="1:2" ht="15" hidden="1">
      <c r="A45" s="1" t="s">
        <v>7</v>
      </c>
      <c r="B45" s="1"/>
    </row>
    <row r="46" ht="15" hidden="1"/>
    <row r="47" spans="1:5" ht="15" hidden="1">
      <c r="A47" s="27" t="s">
        <v>8</v>
      </c>
      <c r="B47" s="27" t="s">
        <v>9</v>
      </c>
      <c r="C47" s="32" t="s">
        <v>10</v>
      </c>
      <c r="D47" s="32" t="s">
        <v>11</v>
      </c>
      <c r="E47" s="27" t="s">
        <v>12</v>
      </c>
    </row>
    <row r="48" spans="1:5" ht="15" hidden="1">
      <c r="A48" s="26">
        <v>1</v>
      </c>
      <c r="B48" s="26">
        <v>2</v>
      </c>
      <c r="C48" s="63">
        <v>3</v>
      </c>
      <c r="D48" s="63">
        <v>4</v>
      </c>
      <c r="E48" s="26">
        <v>5</v>
      </c>
    </row>
    <row r="49" spans="1:2" ht="15" hidden="1">
      <c r="A49" s="74" t="s">
        <v>13</v>
      </c>
      <c r="B49" s="10" t="s">
        <v>108</v>
      </c>
    </row>
    <row r="50" spans="1:5" ht="15" hidden="1">
      <c r="A50" s="75" t="s">
        <v>15</v>
      </c>
      <c r="B50" s="26" t="s">
        <v>109</v>
      </c>
      <c r="C50" s="65" t="s">
        <v>110</v>
      </c>
      <c r="D50" s="152" t="s">
        <v>111</v>
      </c>
      <c r="E50" s="70">
        <v>0.97</v>
      </c>
    </row>
    <row r="51" spans="1:5" ht="15" hidden="1">
      <c r="A51" s="74" t="s">
        <v>21</v>
      </c>
      <c r="B51" s="73" t="s">
        <v>112</v>
      </c>
      <c r="C51" s="69" t="s">
        <v>110</v>
      </c>
      <c r="D51" s="152" t="s">
        <v>187</v>
      </c>
      <c r="E51" s="245">
        <f>Lapas1!E150/100*52.25+6.58*1.025+11.21*0.01</f>
        <v>21.662803623523725</v>
      </c>
    </row>
    <row r="52" spans="1:5" ht="15" hidden="1">
      <c r="A52" s="76" t="s">
        <v>60</v>
      </c>
      <c r="B52" s="68" t="s">
        <v>113</v>
      </c>
      <c r="C52" s="13" t="s">
        <v>59</v>
      </c>
      <c r="D52" s="67"/>
      <c r="E52" s="245">
        <f>Lapas1!E91</f>
        <v>0</v>
      </c>
    </row>
    <row r="53" spans="1:5" ht="15" hidden="1">
      <c r="A53" s="77" t="s">
        <v>72</v>
      </c>
      <c r="B53" s="68" t="s">
        <v>114</v>
      </c>
      <c r="C53" s="71" t="s">
        <v>110</v>
      </c>
      <c r="D53" s="154" t="s">
        <v>188</v>
      </c>
      <c r="E53" s="70">
        <v>6.58</v>
      </c>
    </row>
    <row r="54" spans="1:5" ht="15" hidden="1">
      <c r="A54" s="82" t="s">
        <v>115</v>
      </c>
      <c r="B54" s="68" t="s">
        <v>116</v>
      </c>
      <c r="C54" s="72" t="s">
        <v>110</v>
      </c>
      <c r="D54" s="65" t="s">
        <v>188</v>
      </c>
      <c r="E54" s="153">
        <v>11.25</v>
      </c>
    </row>
    <row r="55" spans="1:5" ht="15" hidden="1">
      <c r="A55" s="83" t="s">
        <v>84</v>
      </c>
      <c r="B55" s="80" t="s">
        <v>117</v>
      </c>
      <c r="C55" s="72" t="s">
        <v>110</v>
      </c>
      <c r="D55" s="152" t="s">
        <v>121</v>
      </c>
      <c r="E55" s="247">
        <f>E50+E51</f>
        <v>22.632803623523724</v>
      </c>
    </row>
    <row r="56" spans="1:5" ht="15" hidden="1">
      <c r="A56" s="83" t="s">
        <v>85</v>
      </c>
      <c r="B56" s="81" t="s">
        <v>118</v>
      </c>
      <c r="C56" s="72" t="s">
        <v>110</v>
      </c>
      <c r="D56" s="78"/>
      <c r="E56" s="245">
        <f>E55*1.09</f>
        <v>24.669755949640862</v>
      </c>
    </row>
    <row r="57" spans="1:5" ht="15" hidden="1">
      <c r="A57" s="83" t="s">
        <v>87</v>
      </c>
      <c r="B57" s="81" t="s">
        <v>119</v>
      </c>
      <c r="C57" s="72" t="s">
        <v>110</v>
      </c>
      <c r="D57" s="66"/>
      <c r="E57" s="246">
        <f>Lapas1!E152/100*51+6.58+0.01</f>
        <v>21.04198822583177</v>
      </c>
    </row>
    <row r="58" spans="1:5" ht="15" hidden="1">
      <c r="A58" s="83" t="s">
        <v>89</v>
      </c>
      <c r="B58" s="79" t="s">
        <v>120</v>
      </c>
      <c r="C58" s="84" t="s">
        <v>95</v>
      </c>
      <c r="D58" s="66"/>
      <c r="E58" s="245">
        <f>(E55/E23)*100-100</f>
        <v>-0.07592219194822292</v>
      </c>
    </row>
    <row r="59" ht="15" hidden="1"/>
    <row r="60" ht="15" hidden="1"/>
    <row r="61" spans="2:4" ht="15" hidden="1">
      <c r="B61" t="s">
        <v>189</v>
      </c>
      <c r="C61" t="s">
        <v>193</v>
      </c>
      <c r="D61" s="155" t="s">
        <v>190</v>
      </c>
    </row>
    <row r="62" ht="15" hidden="1">
      <c r="C62" s="162" t="s">
        <v>194</v>
      </c>
    </row>
    <row r="63" ht="15" hidden="1"/>
    <row r="64" ht="15" hidden="1"/>
    <row r="65" spans="1:5" ht="15" hidden="1">
      <c r="A65" s="140" t="s">
        <v>0</v>
      </c>
      <c r="B65" s="140"/>
      <c r="E65" s="140" t="s">
        <v>186</v>
      </c>
    </row>
    <row r="66" spans="1:4" ht="15" hidden="1">
      <c r="A66" s="140" t="s">
        <v>1</v>
      </c>
      <c r="B66" s="140"/>
      <c r="D66" s="140" t="s">
        <v>178</v>
      </c>
    </row>
    <row r="67" spans="1:4" ht="15" hidden="1">
      <c r="A67" s="140" t="s">
        <v>2</v>
      </c>
      <c r="B67" s="140"/>
      <c r="D67" s="140" t="s">
        <v>167</v>
      </c>
    </row>
    <row r="68" spans="1:4" ht="15" hidden="1">
      <c r="A68" s="140" t="s">
        <v>3</v>
      </c>
      <c r="B68" s="140"/>
      <c r="D68" s="140" t="s">
        <v>168</v>
      </c>
    </row>
    <row r="69" spans="1:4" ht="15" hidden="1">
      <c r="A69" s="140" t="s">
        <v>4</v>
      </c>
      <c r="B69" s="140"/>
      <c r="D69" s="140" t="s">
        <v>169</v>
      </c>
    </row>
    <row r="70" spans="1:4" ht="15" hidden="1">
      <c r="A70" s="140" t="s">
        <v>5</v>
      </c>
      <c r="B70" s="140"/>
      <c r="D70" s="140" t="s">
        <v>170</v>
      </c>
    </row>
    <row r="71" ht="15" hidden="1"/>
    <row r="72" spans="1:5" ht="15.75" hidden="1">
      <c r="A72" s="150"/>
      <c r="B72" s="150" t="s">
        <v>232</v>
      </c>
      <c r="C72" s="150"/>
      <c r="D72" s="150"/>
      <c r="E72" s="150"/>
    </row>
    <row r="73" spans="3:4" ht="15" hidden="1">
      <c r="C73" s="157">
        <v>41540</v>
      </c>
      <c r="D73" s="151"/>
    </row>
    <row r="74" ht="15" hidden="1">
      <c r="C74" s="156" t="s">
        <v>191</v>
      </c>
    </row>
    <row r="75" spans="1:2" ht="15" hidden="1">
      <c r="A75" s="2" t="s">
        <v>6</v>
      </c>
      <c r="B75" s="2"/>
    </row>
    <row r="76" spans="1:2" ht="15" hidden="1">
      <c r="A76" s="1" t="s">
        <v>195</v>
      </c>
      <c r="B76" s="1"/>
    </row>
    <row r="77" spans="1:2" ht="15" hidden="1">
      <c r="A77" s="1" t="s">
        <v>7</v>
      </c>
      <c r="B77" s="1"/>
    </row>
    <row r="78" ht="15" hidden="1">
      <c r="A78" t="s">
        <v>238</v>
      </c>
    </row>
    <row r="79" spans="1:5" ht="15" hidden="1">
      <c r="A79" s="27" t="s">
        <v>8</v>
      </c>
      <c r="B79" s="27" t="s">
        <v>9</v>
      </c>
      <c r="C79" s="32" t="s">
        <v>10</v>
      </c>
      <c r="D79" s="32" t="s">
        <v>11</v>
      </c>
      <c r="E79" s="27" t="s">
        <v>12</v>
      </c>
    </row>
    <row r="80" spans="1:5" ht="15" hidden="1">
      <c r="A80" s="26">
        <v>1</v>
      </c>
      <c r="B80" s="26">
        <v>2</v>
      </c>
      <c r="C80" s="63">
        <v>3</v>
      </c>
      <c r="D80" s="63">
        <v>4</v>
      </c>
      <c r="E80" s="26">
        <v>5</v>
      </c>
    </row>
    <row r="81" spans="1:2" ht="15" hidden="1">
      <c r="A81" s="74" t="s">
        <v>13</v>
      </c>
      <c r="B81" s="10" t="s">
        <v>108</v>
      </c>
    </row>
    <row r="82" spans="1:5" ht="15" hidden="1">
      <c r="A82" s="75" t="s">
        <v>15</v>
      </c>
      <c r="B82" s="26" t="s">
        <v>109</v>
      </c>
      <c r="C82" s="65" t="s">
        <v>110</v>
      </c>
      <c r="D82" s="152" t="s">
        <v>111</v>
      </c>
      <c r="E82" s="70">
        <v>0.97</v>
      </c>
    </row>
    <row r="83" spans="1:5" ht="15" hidden="1">
      <c r="A83" s="74" t="s">
        <v>21</v>
      </c>
      <c r="B83" s="73" t="s">
        <v>112</v>
      </c>
      <c r="C83" s="69" t="s">
        <v>110</v>
      </c>
      <c r="D83" s="152" t="s">
        <v>187</v>
      </c>
      <c r="E83" s="245">
        <v>21.58</v>
      </c>
    </row>
    <row r="84" spans="1:5" ht="15" hidden="1">
      <c r="A84" s="76" t="s">
        <v>60</v>
      </c>
      <c r="B84" s="68" t="s">
        <v>113</v>
      </c>
      <c r="C84" s="13" t="s">
        <v>59</v>
      </c>
      <c r="D84" s="67"/>
      <c r="E84" s="245">
        <f>Lapas1!E239</f>
        <v>28.203638206268135</v>
      </c>
    </row>
    <row r="85" spans="1:5" ht="15" hidden="1">
      <c r="A85" s="77" t="s">
        <v>72</v>
      </c>
      <c r="B85" s="68" t="s">
        <v>114</v>
      </c>
      <c r="C85" s="71" t="s">
        <v>110</v>
      </c>
      <c r="D85" s="154" t="s">
        <v>188</v>
      </c>
      <c r="E85" s="70">
        <v>6.58</v>
      </c>
    </row>
    <row r="86" spans="1:5" ht="15" hidden="1">
      <c r="A86" s="82" t="s">
        <v>115</v>
      </c>
      <c r="B86" s="68" t="s">
        <v>116</v>
      </c>
      <c r="C86" s="72" t="s">
        <v>110</v>
      </c>
      <c r="D86" s="65" t="s">
        <v>188</v>
      </c>
      <c r="E86" s="153">
        <v>11.21</v>
      </c>
    </row>
    <row r="87" spans="1:5" ht="15" hidden="1">
      <c r="A87" s="83" t="s">
        <v>84</v>
      </c>
      <c r="B87" s="80" t="s">
        <v>117</v>
      </c>
      <c r="C87" s="72" t="s">
        <v>110</v>
      </c>
      <c r="D87" s="152" t="s">
        <v>121</v>
      </c>
      <c r="E87" s="247">
        <f>E82+E83</f>
        <v>22.549999999999997</v>
      </c>
    </row>
    <row r="88" spans="1:5" ht="15" hidden="1">
      <c r="A88" s="83" t="s">
        <v>85</v>
      </c>
      <c r="B88" s="81" t="s">
        <v>118</v>
      </c>
      <c r="C88" s="72" t="s">
        <v>110</v>
      </c>
      <c r="D88" s="78"/>
      <c r="E88" s="245">
        <f>E87*1.09</f>
        <v>24.5795</v>
      </c>
    </row>
    <row r="89" spans="1:5" ht="15" hidden="1">
      <c r="A89" s="83" t="s">
        <v>87</v>
      </c>
      <c r="B89" s="81" t="s">
        <v>119</v>
      </c>
      <c r="C89" s="72" t="s">
        <v>110</v>
      </c>
      <c r="D89" s="66"/>
      <c r="E89" s="246">
        <f>E55</f>
        <v>22.632803623523724</v>
      </c>
    </row>
    <row r="90" spans="1:5" ht="15" hidden="1">
      <c r="A90" s="83" t="s">
        <v>89</v>
      </c>
      <c r="B90" s="79" t="s">
        <v>120</v>
      </c>
      <c r="C90" s="84" t="s">
        <v>95</v>
      </c>
      <c r="D90" s="66"/>
      <c r="E90" s="245">
        <f>(E87/E55)*100-100</f>
        <v>-0.3658566782140298</v>
      </c>
    </row>
    <row r="91" ht="15" hidden="1"/>
    <row r="92" ht="15" hidden="1"/>
    <row r="93" spans="2:4" ht="15" hidden="1">
      <c r="B93" t="s">
        <v>241</v>
      </c>
      <c r="D93" s="194" t="s">
        <v>236</v>
      </c>
    </row>
    <row r="94" ht="15" hidden="1">
      <c r="C94" s="162" t="s">
        <v>194</v>
      </c>
    </row>
    <row r="95" ht="15" hidden="1"/>
    <row r="96" ht="15" hidden="1"/>
    <row r="97" spans="1:5" ht="15" hidden="1">
      <c r="A97" s="140" t="s">
        <v>0</v>
      </c>
      <c r="B97" s="140"/>
      <c r="E97" s="140" t="s">
        <v>186</v>
      </c>
    </row>
    <row r="98" spans="1:4" ht="15" hidden="1">
      <c r="A98" s="140" t="s">
        <v>1</v>
      </c>
      <c r="B98" s="140"/>
      <c r="D98" s="140" t="s">
        <v>178</v>
      </c>
    </row>
    <row r="99" spans="1:4" ht="15" hidden="1">
      <c r="A99" s="140" t="s">
        <v>2</v>
      </c>
      <c r="B99" s="140"/>
      <c r="D99" s="140" t="s">
        <v>167</v>
      </c>
    </row>
    <row r="100" spans="1:4" ht="15" hidden="1">
      <c r="A100" s="140" t="s">
        <v>3</v>
      </c>
      <c r="B100" s="140"/>
      <c r="D100" s="140" t="s">
        <v>168</v>
      </c>
    </row>
    <row r="101" spans="1:4" ht="15" hidden="1">
      <c r="A101" s="140" t="s">
        <v>4</v>
      </c>
      <c r="B101" s="140"/>
      <c r="D101" s="140" t="s">
        <v>169</v>
      </c>
    </row>
    <row r="102" spans="1:4" ht="15" hidden="1">
      <c r="A102" s="140" t="s">
        <v>5</v>
      </c>
      <c r="B102" s="140"/>
      <c r="D102" s="140" t="s">
        <v>170</v>
      </c>
    </row>
    <row r="103" ht="15" hidden="1"/>
    <row r="104" spans="1:5" ht="15.75" hidden="1">
      <c r="A104" s="150"/>
      <c r="B104" s="150" t="s">
        <v>242</v>
      </c>
      <c r="C104" s="150"/>
      <c r="D104" s="150"/>
      <c r="E104" s="150"/>
    </row>
    <row r="105" spans="3:4" ht="15" hidden="1">
      <c r="C105" s="157">
        <v>41568</v>
      </c>
      <c r="D105" s="151"/>
    </row>
    <row r="106" ht="15" hidden="1">
      <c r="C106" s="156" t="s">
        <v>191</v>
      </c>
    </row>
    <row r="107" spans="1:2" ht="15" hidden="1">
      <c r="A107" s="2" t="s">
        <v>6</v>
      </c>
      <c r="B107" s="2"/>
    </row>
    <row r="108" spans="1:2" ht="15" hidden="1">
      <c r="A108" s="1" t="s">
        <v>195</v>
      </c>
      <c r="B108" s="1"/>
    </row>
    <row r="109" spans="1:2" ht="15" hidden="1">
      <c r="A109" s="1" t="s">
        <v>7</v>
      </c>
      <c r="B109" s="1"/>
    </row>
    <row r="110" ht="15.75" hidden="1" thickBot="1">
      <c r="A110" t="s">
        <v>238</v>
      </c>
    </row>
    <row r="111" spans="1:5" ht="15" hidden="1">
      <c r="A111" s="253" t="s">
        <v>8</v>
      </c>
      <c r="B111" s="254" t="s">
        <v>9</v>
      </c>
      <c r="C111" s="255" t="s">
        <v>10</v>
      </c>
      <c r="D111" s="255" t="s">
        <v>11</v>
      </c>
      <c r="E111" s="256" t="s">
        <v>12</v>
      </c>
    </row>
    <row r="112" spans="1:5" ht="15" hidden="1">
      <c r="A112" s="257">
        <v>1</v>
      </c>
      <c r="B112" s="26">
        <v>2</v>
      </c>
      <c r="C112" s="63">
        <v>3</v>
      </c>
      <c r="D112" s="63">
        <v>4</v>
      </c>
      <c r="E112" s="258">
        <v>5</v>
      </c>
    </row>
    <row r="113" spans="1:5" ht="15" hidden="1">
      <c r="A113" s="259" t="s">
        <v>13</v>
      </c>
      <c r="B113" s="260" t="s">
        <v>108</v>
      </c>
      <c r="C113" s="261"/>
      <c r="D113" s="261"/>
      <c r="E113" s="262"/>
    </row>
    <row r="114" spans="1:5" ht="15" hidden="1">
      <c r="A114" s="263" t="s">
        <v>15</v>
      </c>
      <c r="B114" s="26" t="s">
        <v>109</v>
      </c>
      <c r="C114" s="65" t="s">
        <v>110</v>
      </c>
      <c r="D114" s="152" t="s">
        <v>111</v>
      </c>
      <c r="E114" s="264">
        <v>0.97</v>
      </c>
    </row>
    <row r="115" spans="1:5" ht="15" hidden="1">
      <c r="A115" s="259" t="s">
        <v>21</v>
      </c>
      <c r="B115" s="73" t="s">
        <v>112</v>
      </c>
      <c r="C115" s="69" t="s">
        <v>110</v>
      </c>
      <c r="D115" s="152" t="s">
        <v>187</v>
      </c>
      <c r="E115" s="265">
        <v>21.49</v>
      </c>
    </row>
    <row r="116" spans="1:5" ht="15" hidden="1">
      <c r="A116" s="266" t="s">
        <v>60</v>
      </c>
      <c r="B116" s="68" t="s">
        <v>113</v>
      </c>
      <c r="C116" s="13" t="s">
        <v>59</v>
      </c>
      <c r="D116" s="67"/>
      <c r="E116" s="265">
        <f>Lapas1!E332</f>
        <v>28.01221720962903</v>
      </c>
    </row>
    <row r="117" spans="1:5" ht="15" hidden="1">
      <c r="A117" s="267" t="s">
        <v>72</v>
      </c>
      <c r="B117" s="68" t="s">
        <v>114</v>
      </c>
      <c r="C117" s="71" t="s">
        <v>110</v>
      </c>
      <c r="D117" s="268" t="s">
        <v>188</v>
      </c>
      <c r="E117" s="264">
        <v>6.58</v>
      </c>
    </row>
    <row r="118" spans="1:5" ht="15" hidden="1">
      <c r="A118" s="269" t="s">
        <v>115</v>
      </c>
      <c r="B118" s="68" t="s">
        <v>116</v>
      </c>
      <c r="C118" s="72" t="s">
        <v>110</v>
      </c>
      <c r="D118" s="65" t="s">
        <v>188</v>
      </c>
      <c r="E118" s="270">
        <v>11.21</v>
      </c>
    </row>
    <row r="119" spans="1:5" ht="15" hidden="1">
      <c r="A119" s="271" t="s">
        <v>84</v>
      </c>
      <c r="B119" s="80" t="s">
        <v>117</v>
      </c>
      <c r="C119" s="72" t="s">
        <v>110</v>
      </c>
      <c r="D119" s="152" t="s">
        <v>121</v>
      </c>
      <c r="E119" s="272">
        <f>E114+E115</f>
        <v>22.459999999999997</v>
      </c>
    </row>
    <row r="120" spans="1:5" ht="15" hidden="1">
      <c r="A120" s="271" t="s">
        <v>85</v>
      </c>
      <c r="B120" s="81" t="s">
        <v>118</v>
      </c>
      <c r="C120" s="72" t="s">
        <v>110</v>
      </c>
      <c r="D120" s="78"/>
      <c r="E120" s="265">
        <f>E119*1.09</f>
        <v>24.481399999999997</v>
      </c>
    </row>
    <row r="121" spans="1:7" ht="15" hidden="1">
      <c r="A121" s="271" t="s">
        <v>87</v>
      </c>
      <c r="B121" s="81" t="s">
        <v>119</v>
      </c>
      <c r="C121" s="72" t="s">
        <v>110</v>
      </c>
      <c r="D121" s="66"/>
      <c r="E121" s="273">
        <f>E87</f>
        <v>22.549999999999997</v>
      </c>
      <c r="G121">
        <v>230.75</v>
      </c>
    </row>
    <row r="122" spans="1:7" ht="15.75" hidden="1" thickBot="1">
      <c r="A122" s="274" t="s">
        <v>89</v>
      </c>
      <c r="B122" s="275" t="s">
        <v>120</v>
      </c>
      <c r="C122" s="276" t="s">
        <v>95</v>
      </c>
      <c r="D122" s="277"/>
      <c r="E122" s="278">
        <f>(E119/E121)*100-100</f>
        <v>-0.3991130820399178</v>
      </c>
      <c r="G122">
        <v>196.43</v>
      </c>
    </row>
    <row r="123" ht="15" hidden="1"/>
    <row r="124" ht="15" hidden="1"/>
    <row r="125" spans="2:7" ht="15" hidden="1">
      <c r="B125" t="s">
        <v>189</v>
      </c>
      <c r="C125" t="s">
        <v>193</v>
      </c>
      <c r="D125" s="155" t="s">
        <v>190</v>
      </c>
      <c r="G125" s="281">
        <f>G121/G122*100-100</f>
        <v>17.471872931833204</v>
      </c>
    </row>
    <row r="126" ht="15" hidden="1">
      <c r="C126" s="162" t="s">
        <v>194</v>
      </c>
    </row>
    <row r="127" ht="15" hidden="1"/>
    <row r="128" ht="15" hidden="1"/>
    <row r="129" spans="1:5" ht="12" customHeight="1" hidden="1">
      <c r="A129" s="140" t="s">
        <v>0</v>
      </c>
      <c r="B129" s="140"/>
      <c r="E129" s="140" t="s">
        <v>186</v>
      </c>
    </row>
    <row r="130" spans="1:4" ht="12" customHeight="1" hidden="1">
      <c r="A130" s="140" t="s">
        <v>1</v>
      </c>
      <c r="B130" s="140"/>
      <c r="D130" s="140" t="s">
        <v>178</v>
      </c>
    </row>
    <row r="131" spans="1:4" ht="12" customHeight="1" hidden="1">
      <c r="A131" s="140" t="s">
        <v>2</v>
      </c>
      <c r="B131" s="140"/>
      <c r="D131" s="140" t="s">
        <v>167</v>
      </c>
    </row>
    <row r="132" spans="1:4" ht="12" customHeight="1" hidden="1">
      <c r="A132" s="140" t="s">
        <v>3</v>
      </c>
      <c r="B132" s="140"/>
      <c r="D132" s="140" t="s">
        <v>168</v>
      </c>
    </row>
    <row r="133" spans="1:4" ht="12" customHeight="1" hidden="1">
      <c r="A133" s="140" t="s">
        <v>4</v>
      </c>
      <c r="B133" s="140"/>
      <c r="D133" s="140" t="s">
        <v>169</v>
      </c>
    </row>
    <row r="134" spans="1:4" ht="12" customHeight="1" hidden="1">
      <c r="A134" s="140" t="s">
        <v>5</v>
      </c>
      <c r="B134" s="140"/>
      <c r="D134" s="140" t="s">
        <v>170</v>
      </c>
    </row>
    <row r="135" ht="15" hidden="1"/>
    <row r="136" spans="1:5" ht="15.75" hidden="1">
      <c r="A136" s="150"/>
      <c r="B136" s="150" t="s">
        <v>243</v>
      </c>
      <c r="C136" s="150"/>
      <c r="D136" s="150"/>
      <c r="E136" s="150"/>
    </row>
    <row r="137" spans="3:4" ht="15" hidden="1">
      <c r="C137" s="157">
        <v>41598</v>
      </c>
      <c r="D137" s="151"/>
    </row>
    <row r="138" ht="15" hidden="1">
      <c r="C138" s="156" t="s">
        <v>191</v>
      </c>
    </row>
    <row r="139" spans="1:2" ht="15" hidden="1">
      <c r="A139" s="2" t="s">
        <v>6</v>
      </c>
      <c r="B139" s="2"/>
    </row>
    <row r="140" spans="1:2" ht="15" hidden="1">
      <c r="A140" s="1" t="s">
        <v>195</v>
      </c>
      <c r="B140" s="1"/>
    </row>
    <row r="141" spans="1:2" ht="15" hidden="1">
      <c r="A141" s="1" t="s">
        <v>7</v>
      </c>
      <c r="B141" s="1"/>
    </row>
    <row r="142" ht="15.75" hidden="1" thickBot="1">
      <c r="A142" t="s">
        <v>238</v>
      </c>
    </row>
    <row r="143" spans="1:5" ht="15" hidden="1">
      <c r="A143" s="253" t="s">
        <v>8</v>
      </c>
      <c r="B143" s="254" t="s">
        <v>9</v>
      </c>
      <c r="C143" s="254" t="s">
        <v>10</v>
      </c>
      <c r="D143" s="254" t="s">
        <v>11</v>
      </c>
      <c r="E143" s="256" t="s">
        <v>12</v>
      </c>
    </row>
    <row r="144" spans="1:5" ht="15" hidden="1">
      <c r="A144" s="320" t="s">
        <v>251</v>
      </c>
      <c r="B144" s="487" t="s">
        <v>256</v>
      </c>
      <c r="C144" s="483"/>
      <c r="D144" s="483"/>
      <c r="E144" s="485"/>
    </row>
    <row r="145" spans="1:5" ht="15" hidden="1">
      <c r="A145" s="263" t="s">
        <v>15</v>
      </c>
      <c r="B145" s="26" t="s">
        <v>109</v>
      </c>
      <c r="C145" s="153" t="s">
        <v>110</v>
      </c>
      <c r="D145" s="307" t="s">
        <v>111</v>
      </c>
      <c r="E145" s="316">
        <v>0.97</v>
      </c>
    </row>
    <row r="146" spans="1:5" ht="15" hidden="1">
      <c r="A146" s="263" t="s">
        <v>21</v>
      </c>
      <c r="B146" s="73" t="s">
        <v>112</v>
      </c>
      <c r="C146" s="153" t="s">
        <v>110</v>
      </c>
      <c r="D146" s="307" t="s">
        <v>187</v>
      </c>
      <c r="E146" s="300">
        <v>21.27</v>
      </c>
    </row>
    <row r="147" spans="1:5" ht="15" hidden="1">
      <c r="A147" s="317" t="s">
        <v>60</v>
      </c>
      <c r="B147" s="68" t="s">
        <v>113</v>
      </c>
      <c r="C147" s="13" t="s">
        <v>59</v>
      </c>
      <c r="D147" s="68"/>
      <c r="E147" s="265">
        <f>Lapas1!E423</f>
        <v>27.598259961944926</v>
      </c>
    </row>
    <row r="148" spans="1:5" ht="15" hidden="1">
      <c r="A148" s="317" t="s">
        <v>72</v>
      </c>
      <c r="B148" s="68" t="s">
        <v>114</v>
      </c>
      <c r="C148" s="153" t="s">
        <v>110</v>
      </c>
      <c r="D148" s="153" t="s">
        <v>188</v>
      </c>
      <c r="E148" s="264">
        <v>6.58</v>
      </c>
    </row>
    <row r="149" spans="1:5" ht="15" hidden="1">
      <c r="A149" s="317" t="s">
        <v>115</v>
      </c>
      <c r="B149" s="68" t="s">
        <v>116</v>
      </c>
      <c r="C149" s="153" t="s">
        <v>110</v>
      </c>
      <c r="D149" s="153" t="s">
        <v>188</v>
      </c>
      <c r="E149" s="318">
        <v>11.21</v>
      </c>
    </row>
    <row r="150" spans="1:5" ht="15" hidden="1">
      <c r="A150" s="271" t="s">
        <v>84</v>
      </c>
      <c r="B150" s="308" t="s">
        <v>117</v>
      </c>
      <c r="C150" s="153" t="s">
        <v>110</v>
      </c>
      <c r="D150" s="307" t="s">
        <v>121</v>
      </c>
      <c r="E150" s="272">
        <f>E145+E146</f>
        <v>22.24</v>
      </c>
    </row>
    <row r="151" spans="1:5" ht="15" hidden="1">
      <c r="A151" s="271" t="s">
        <v>85</v>
      </c>
      <c r="B151" s="308" t="s">
        <v>118</v>
      </c>
      <c r="C151" s="153" t="s">
        <v>110</v>
      </c>
      <c r="D151" s="73"/>
      <c r="E151" s="265">
        <f>E150*1.09</f>
        <v>24.241600000000002</v>
      </c>
    </row>
    <row r="152" spans="1:5" ht="15" hidden="1">
      <c r="A152" s="271" t="s">
        <v>87</v>
      </c>
      <c r="B152" s="308" t="s">
        <v>119</v>
      </c>
      <c r="C152" s="153" t="s">
        <v>110</v>
      </c>
      <c r="D152" s="73"/>
      <c r="E152" s="273">
        <f>E119</f>
        <v>22.459999999999997</v>
      </c>
    </row>
    <row r="153" spans="1:5" ht="15" hidden="1">
      <c r="A153" s="271" t="s">
        <v>89</v>
      </c>
      <c r="B153" s="309" t="s">
        <v>120</v>
      </c>
      <c r="C153" s="84" t="s">
        <v>95</v>
      </c>
      <c r="D153" s="73"/>
      <c r="E153" s="265">
        <f>(E150/E152)*100-100</f>
        <v>-0.9795191451469236</v>
      </c>
    </row>
    <row r="154" spans="1:5" ht="15" hidden="1">
      <c r="A154" s="319" t="s">
        <v>252</v>
      </c>
      <c r="B154" s="486" t="s">
        <v>249</v>
      </c>
      <c r="C154" s="479"/>
      <c r="D154" s="479"/>
      <c r="E154" s="481"/>
    </row>
    <row r="155" spans="1:5" ht="15" hidden="1">
      <c r="A155" s="263" t="s">
        <v>15</v>
      </c>
      <c r="B155" s="49" t="s">
        <v>109</v>
      </c>
      <c r="C155" s="304" t="s">
        <v>110</v>
      </c>
      <c r="D155" s="305" t="s">
        <v>111</v>
      </c>
      <c r="E155" s="306">
        <v>0.97</v>
      </c>
    </row>
    <row r="156" spans="1:5" ht="15" hidden="1">
      <c r="A156" s="259" t="s">
        <v>21</v>
      </c>
      <c r="B156" s="73" t="s">
        <v>112</v>
      </c>
      <c r="C156" s="69" t="s">
        <v>110</v>
      </c>
      <c r="D156" s="152" t="s">
        <v>250</v>
      </c>
      <c r="E156" s="300">
        <v>20.77</v>
      </c>
    </row>
    <row r="157" spans="1:5" ht="15" hidden="1">
      <c r="A157" s="271" t="s">
        <v>60</v>
      </c>
      <c r="B157" s="80" t="s">
        <v>117</v>
      </c>
      <c r="C157" s="72" t="s">
        <v>110</v>
      </c>
      <c r="D157" s="152" t="s">
        <v>121</v>
      </c>
      <c r="E157" s="272">
        <f>E155+E156</f>
        <v>21.74</v>
      </c>
    </row>
    <row r="158" spans="1:5" ht="15.75" hidden="1" thickBot="1">
      <c r="A158" s="274" t="s">
        <v>72</v>
      </c>
      <c r="B158" s="301" t="s">
        <v>118</v>
      </c>
      <c r="C158" s="302" t="s">
        <v>110</v>
      </c>
      <c r="D158" s="277"/>
      <c r="E158" s="303">
        <f>E157*1.21</f>
        <v>26.3054</v>
      </c>
    </row>
    <row r="159" ht="15" hidden="1"/>
    <row r="160" spans="2:4" ht="15" hidden="1">
      <c r="B160" t="s">
        <v>189</v>
      </c>
      <c r="C160" t="s">
        <v>193</v>
      </c>
      <c r="D160" s="155" t="s">
        <v>190</v>
      </c>
    </row>
    <row r="161" ht="15" hidden="1">
      <c r="C161" s="162" t="s">
        <v>194</v>
      </c>
    </row>
    <row r="162" spans="1:5" ht="10.5" customHeight="1" hidden="1">
      <c r="A162" s="140" t="s">
        <v>0</v>
      </c>
      <c r="B162" s="140"/>
      <c r="E162" s="140" t="s">
        <v>186</v>
      </c>
    </row>
    <row r="163" spans="1:4" ht="10.5" customHeight="1" hidden="1">
      <c r="A163" s="140" t="s">
        <v>1</v>
      </c>
      <c r="B163" s="140"/>
      <c r="D163" s="140" t="s">
        <v>178</v>
      </c>
    </row>
    <row r="164" spans="1:4" ht="10.5" customHeight="1" hidden="1">
      <c r="A164" s="140" t="s">
        <v>2</v>
      </c>
      <c r="B164" s="140"/>
      <c r="D164" s="140" t="s">
        <v>167</v>
      </c>
    </row>
    <row r="165" spans="1:4" ht="10.5" customHeight="1" hidden="1">
      <c r="A165" s="140" t="s">
        <v>3</v>
      </c>
      <c r="B165" s="140"/>
      <c r="D165" s="140" t="s">
        <v>168</v>
      </c>
    </row>
    <row r="166" spans="1:4" ht="10.5" customHeight="1" hidden="1">
      <c r="A166" s="140" t="s">
        <v>4</v>
      </c>
      <c r="B166" s="140"/>
      <c r="D166" s="140" t="s">
        <v>169</v>
      </c>
    </row>
    <row r="167" spans="1:4" ht="10.5" customHeight="1" hidden="1">
      <c r="A167" s="140" t="s">
        <v>5</v>
      </c>
      <c r="B167" s="140"/>
      <c r="D167" s="140" t="s">
        <v>170</v>
      </c>
    </row>
    <row r="168" ht="15" hidden="1"/>
    <row r="169" spans="1:5" ht="15.75" hidden="1">
      <c r="A169" s="150"/>
      <c r="B169" s="150" t="s">
        <v>259</v>
      </c>
      <c r="C169" s="150"/>
      <c r="D169" s="150"/>
      <c r="E169" s="150"/>
    </row>
    <row r="170" spans="3:4" ht="15" hidden="1">
      <c r="C170" s="157">
        <v>41627</v>
      </c>
      <c r="D170" s="151"/>
    </row>
    <row r="171" ht="15" hidden="1">
      <c r="C171" s="156" t="s">
        <v>191</v>
      </c>
    </row>
    <row r="172" spans="1:2" ht="15" hidden="1">
      <c r="A172" s="2" t="s">
        <v>6</v>
      </c>
      <c r="B172" s="2"/>
    </row>
    <row r="173" spans="1:2" ht="15" hidden="1">
      <c r="A173" s="1" t="s">
        <v>195</v>
      </c>
      <c r="B173" s="1"/>
    </row>
    <row r="174" spans="1:2" ht="15" hidden="1">
      <c r="A174" s="1" t="s">
        <v>7</v>
      </c>
      <c r="B174" s="1"/>
    </row>
    <row r="175" ht="15.75" hidden="1" thickBot="1">
      <c r="A175" t="s">
        <v>238</v>
      </c>
    </row>
    <row r="176" spans="1:5" ht="15" hidden="1">
      <c r="A176" s="253" t="s">
        <v>8</v>
      </c>
      <c r="B176" s="254" t="s">
        <v>9</v>
      </c>
      <c r="C176" s="254" t="s">
        <v>10</v>
      </c>
      <c r="D176" s="254" t="s">
        <v>11</v>
      </c>
      <c r="E176" s="256" t="s">
        <v>12</v>
      </c>
    </row>
    <row r="177" spans="1:5" ht="15" hidden="1">
      <c r="A177" s="320" t="s">
        <v>251</v>
      </c>
      <c r="B177" s="487" t="s">
        <v>256</v>
      </c>
      <c r="C177" s="483"/>
      <c r="D177" s="483"/>
      <c r="E177" s="485"/>
    </row>
    <row r="178" spans="1:5" ht="15" hidden="1">
      <c r="A178" s="263" t="s">
        <v>15</v>
      </c>
      <c r="B178" s="26" t="s">
        <v>109</v>
      </c>
      <c r="C178" s="153" t="s">
        <v>110</v>
      </c>
      <c r="D178" s="307" t="s">
        <v>111</v>
      </c>
      <c r="E178" s="316">
        <v>0.97</v>
      </c>
    </row>
    <row r="179" spans="1:5" ht="15" hidden="1">
      <c r="A179" s="263" t="s">
        <v>21</v>
      </c>
      <c r="B179" s="73" t="s">
        <v>112</v>
      </c>
      <c r="C179" s="153" t="s">
        <v>110</v>
      </c>
      <c r="D179" s="307" t="s">
        <v>187</v>
      </c>
      <c r="E179" s="300">
        <v>21.5</v>
      </c>
    </row>
    <row r="180" spans="1:5" ht="15" hidden="1">
      <c r="A180" s="317" t="s">
        <v>60</v>
      </c>
      <c r="B180" s="68" t="s">
        <v>113</v>
      </c>
      <c r="C180" s="13" t="s">
        <v>59</v>
      </c>
      <c r="D180" s="68"/>
      <c r="E180" s="265">
        <f>Lapas1!E512</f>
        <v>28.039437351918917</v>
      </c>
    </row>
    <row r="181" spans="1:5" ht="15" hidden="1">
      <c r="A181" s="317" t="s">
        <v>72</v>
      </c>
      <c r="B181" s="68" t="s">
        <v>114</v>
      </c>
      <c r="C181" s="153" t="s">
        <v>110</v>
      </c>
      <c r="D181" s="153" t="s">
        <v>188</v>
      </c>
      <c r="E181" s="264">
        <v>6.58</v>
      </c>
    </row>
    <row r="182" spans="1:5" ht="15" hidden="1">
      <c r="A182" s="317" t="s">
        <v>115</v>
      </c>
      <c r="B182" s="68" t="s">
        <v>116</v>
      </c>
      <c r="C182" s="153" t="s">
        <v>110</v>
      </c>
      <c r="D182" s="153" t="s">
        <v>188</v>
      </c>
      <c r="E182" s="318">
        <v>11.21</v>
      </c>
    </row>
    <row r="183" spans="1:5" ht="15" hidden="1">
      <c r="A183" s="271" t="s">
        <v>84</v>
      </c>
      <c r="B183" s="308" t="s">
        <v>117</v>
      </c>
      <c r="C183" s="153" t="s">
        <v>110</v>
      </c>
      <c r="D183" s="307" t="s">
        <v>121</v>
      </c>
      <c r="E183" s="272">
        <f>E178+E179</f>
        <v>22.47</v>
      </c>
    </row>
    <row r="184" spans="1:5" ht="15" hidden="1">
      <c r="A184" s="271" t="s">
        <v>85</v>
      </c>
      <c r="B184" s="308" t="s">
        <v>118</v>
      </c>
      <c r="C184" s="153" t="s">
        <v>110</v>
      </c>
      <c r="D184" s="73"/>
      <c r="E184" s="265">
        <f>E183*1.09</f>
        <v>24.4923</v>
      </c>
    </row>
    <row r="185" spans="1:5" ht="15" hidden="1">
      <c r="A185" s="271" t="s">
        <v>87</v>
      </c>
      <c r="B185" s="308" t="s">
        <v>119</v>
      </c>
      <c r="C185" s="153" t="s">
        <v>110</v>
      </c>
      <c r="D185" s="73"/>
      <c r="E185" s="273">
        <f>E150</f>
        <v>22.24</v>
      </c>
    </row>
    <row r="186" spans="1:5" ht="15" hidden="1">
      <c r="A186" s="271" t="s">
        <v>89</v>
      </c>
      <c r="B186" s="309" t="s">
        <v>120</v>
      </c>
      <c r="C186" s="84" t="s">
        <v>95</v>
      </c>
      <c r="D186" s="73"/>
      <c r="E186" s="265">
        <f>(E183/E185)*100-100</f>
        <v>1.0341726618705138</v>
      </c>
    </row>
    <row r="187" spans="1:5" ht="15" hidden="1">
      <c r="A187" s="319" t="s">
        <v>252</v>
      </c>
      <c r="B187" s="486" t="s">
        <v>249</v>
      </c>
      <c r="C187" s="479"/>
      <c r="D187" s="479"/>
      <c r="E187" s="481"/>
    </row>
    <row r="188" spans="1:5" ht="15" hidden="1">
      <c r="A188" s="263" t="s">
        <v>15</v>
      </c>
      <c r="B188" s="49" t="s">
        <v>109</v>
      </c>
      <c r="C188" s="304" t="s">
        <v>110</v>
      </c>
      <c r="D188" s="305" t="s">
        <v>111</v>
      </c>
      <c r="E188" s="306">
        <v>0.97</v>
      </c>
    </row>
    <row r="189" spans="1:5" ht="15" hidden="1">
      <c r="A189" s="259" t="s">
        <v>21</v>
      </c>
      <c r="B189" s="73" t="s">
        <v>112</v>
      </c>
      <c r="C189" s="69" t="s">
        <v>110</v>
      </c>
      <c r="D189" s="152" t="s">
        <v>250</v>
      </c>
      <c r="E189" s="300">
        <f>28.04/100*51+6.58+0.11</f>
        <v>20.9904</v>
      </c>
    </row>
    <row r="190" spans="1:5" ht="15" hidden="1">
      <c r="A190" s="271" t="s">
        <v>60</v>
      </c>
      <c r="B190" s="80" t="s">
        <v>117</v>
      </c>
      <c r="C190" s="72" t="s">
        <v>110</v>
      </c>
      <c r="D190" s="152" t="s">
        <v>121</v>
      </c>
      <c r="E190" s="272">
        <f>E188+E189</f>
        <v>21.9604</v>
      </c>
    </row>
    <row r="191" spans="1:5" ht="15.75" hidden="1" thickBot="1">
      <c r="A191" s="274" t="s">
        <v>72</v>
      </c>
      <c r="B191" s="301" t="s">
        <v>118</v>
      </c>
      <c r="C191" s="302" t="s">
        <v>110</v>
      </c>
      <c r="D191" s="277"/>
      <c r="E191" s="303">
        <f>E190*1.21</f>
        <v>26.572084</v>
      </c>
    </row>
    <row r="192" ht="15" hidden="1"/>
    <row r="193" spans="2:4" ht="15" hidden="1">
      <c r="B193" t="s">
        <v>189</v>
      </c>
      <c r="C193" t="s">
        <v>193</v>
      </c>
      <c r="D193" s="155" t="s">
        <v>190</v>
      </c>
    </row>
    <row r="194" ht="15" hidden="1">
      <c r="C194" s="162" t="s">
        <v>194</v>
      </c>
    </row>
    <row r="195" spans="1:5" ht="14.25" customHeight="1" hidden="1">
      <c r="A195" s="140" t="s">
        <v>0</v>
      </c>
      <c r="B195" s="140"/>
      <c r="E195" s="140" t="s">
        <v>186</v>
      </c>
    </row>
    <row r="196" spans="1:4" ht="14.25" customHeight="1" hidden="1">
      <c r="A196" s="140" t="s">
        <v>1</v>
      </c>
      <c r="B196" s="140"/>
      <c r="D196" s="140" t="s">
        <v>178</v>
      </c>
    </row>
    <row r="197" spans="1:4" ht="14.25" customHeight="1" hidden="1">
      <c r="A197" s="140" t="s">
        <v>2</v>
      </c>
      <c r="B197" s="140"/>
      <c r="D197" s="140" t="s">
        <v>167</v>
      </c>
    </row>
    <row r="198" spans="1:4" ht="14.25" customHeight="1" hidden="1">
      <c r="A198" s="140" t="s">
        <v>3</v>
      </c>
      <c r="B198" s="140"/>
      <c r="D198" s="140" t="s">
        <v>168</v>
      </c>
    </row>
    <row r="199" spans="1:4" ht="14.25" customHeight="1" hidden="1">
      <c r="A199" s="140" t="s">
        <v>4</v>
      </c>
      <c r="B199" s="140"/>
      <c r="D199" s="140" t="s">
        <v>169</v>
      </c>
    </row>
    <row r="200" spans="1:4" ht="14.25" customHeight="1" hidden="1">
      <c r="A200" s="140" t="s">
        <v>5</v>
      </c>
      <c r="B200" s="140"/>
      <c r="D200" s="140" t="s">
        <v>170</v>
      </c>
    </row>
    <row r="201" ht="12" customHeight="1" hidden="1"/>
    <row r="202" spans="1:5" ht="15.75" hidden="1">
      <c r="A202" s="150"/>
      <c r="B202" s="150" t="s">
        <v>261</v>
      </c>
      <c r="C202" s="150"/>
      <c r="D202" s="150"/>
      <c r="E202" s="150"/>
    </row>
    <row r="203" spans="3:4" ht="12.75" customHeight="1" hidden="1">
      <c r="C203" s="157">
        <v>41659</v>
      </c>
      <c r="D203" s="151"/>
    </row>
    <row r="204" ht="12" customHeight="1" hidden="1">
      <c r="C204" s="156" t="s">
        <v>191</v>
      </c>
    </row>
    <row r="205" spans="1:2" ht="15" hidden="1">
      <c r="A205" s="2" t="s">
        <v>6</v>
      </c>
      <c r="B205" s="2"/>
    </row>
    <row r="206" spans="1:2" ht="15" hidden="1">
      <c r="A206" s="1" t="s">
        <v>195</v>
      </c>
      <c r="B206" s="1"/>
    </row>
    <row r="207" spans="1:2" ht="15" hidden="1">
      <c r="A207" s="1" t="s">
        <v>7</v>
      </c>
      <c r="B207" s="1"/>
    </row>
    <row r="208" ht="15.75" hidden="1" thickBot="1">
      <c r="A208" t="s">
        <v>238</v>
      </c>
    </row>
    <row r="209" spans="1:5" ht="15" hidden="1">
      <c r="A209" s="253" t="s">
        <v>8</v>
      </c>
      <c r="B209" s="254" t="s">
        <v>9</v>
      </c>
      <c r="C209" s="254" t="s">
        <v>10</v>
      </c>
      <c r="D209" s="254" t="s">
        <v>11</v>
      </c>
      <c r="E209" s="256" t="s">
        <v>12</v>
      </c>
    </row>
    <row r="210" spans="1:5" ht="15" hidden="1">
      <c r="A210" s="320" t="s">
        <v>251</v>
      </c>
      <c r="B210" s="487" t="s">
        <v>256</v>
      </c>
      <c r="C210" s="483"/>
      <c r="D210" s="483"/>
      <c r="E210" s="485"/>
    </row>
    <row r="211" spans="1:5" ht="15" hidden="1">
      <c r="A211" s="263" t="s">
        <v>15</v>
      </c>
      <c r="B211" s="26" t="s">
        <v>109</v>
      </c>
      <c r="C211" s="153" t="s">
        <v>110</v>
      </c>
      <c r="D211" s="307" t="s">
        <v>111</v>
      </c>
      <c r="E211" s="316">
        <v>0.97</v>
      </c>
    </row>
    <row r="212" spans="1:5" ht="15" hidden="1">
      <c r="A212" s="263" t="s">
        <v>21</v>
      </c>
      <c r="B212" s="73" t="s">
        <v>112</v>
      </c>
      <c r="C212" s="153" t="s">
        <v>110</v>
      </c>
      <c r="D212" s="307" t="s">
        <v>187</v>
      </c>
      <c r="E212" s="300">
        <v>21.37</v>
      </c>
    </row>
    <row r="213" spans="1:5" ht="15" hidden="1">
      <c r="A213" s="317" t="s">
        <v>60</v>
      </c>
      <c r="B213" s="68" t="s">
        <v>113</v>
      </c>
      <c r="C213" s="13" t="s">
        <v>59</v>
      </c>
      <c r="D213" s="68"/>
      <c r="E213" s="265">
        <f>Lapas1!E607</f>
        <v>27.79153485809883</v>
      </c>
    </row>
    <row r="214" spans="1:5" ht="15" hidden="1">
      <c r="A214" s="317" t="s">
        <v>72</v>
      </c>
      <c r="B214" s="68" t="s">
        <v>114</v>
      </c>
      <c r="C214" s="153" t="s">
        <v>110</v>
      </c>
      <c r="D214" s="153" t="s">
        <v>188</v>
      </c>
      <c r="E214" s="264">
        <v>6.58</v>
      </c>
    </row>
    <row r="215" spans="1:5" ht="15" hidden="1">
      <c r="A215" s="317" t="s">
        <v>115</v>
      </c>
      <c r="B215" s="68" t="s">
        <v>116</v>
      </c>
      <c r="C215" s="153" t="s">
        <v>110</v>
      </c>
      <c r="D215" s="153" t="s">
        <v>188</v>
      </c>
      <c r="E215" s="318">
        <v>11.21</v>
      </c>
    </row>
    <row r="216" spans="1:5" ht="15" hidden="1">
      <c r="A216" s="271" t="s">
        <v>84</v>
      </c>
      <c r="B216" s="308" t="s">
        <v>117</v>
      </c>
      <c r="C216" s="153" t="s">
        <v>110</v>
      </c>
      <c r="D216" s="307" t="s">
        <v>121</v>
      </c>
      <c r="E216" s="272">
        <f>E211+E212</f>
        <v>22.34</v>
      </c>
    </row>
    <row r="217" spans="1:5" ht="15" hidden="1">
      <c r="A217" s="271" t="s">
        <v>85</v>
      </c>
      <c r="B217" s="308" t="s">
        <v>118</v>
      </c>
      <c r="C217" s="153" t="s">
        <v>110</v>
      </c>
      <c r="D217" s="73"/>
      <c r="E217" s="265">
        <f>E216*1.09</f>
        <v>24.3506</v>
      </c>
    </row>
    <row r="218" spans="1:5" ht="15" hidden="1">
      <c r="A218" s="271" t="s">
        <v>87</v>
      </c>
      <c r="B218" s="308" t="s">
        <v>119</v>
      </c>
      <c r="C218" s="153" t="s">
        <v>110</v>
      </c>
      <c r="D218" s="73"/>
      <c r="E218" s="273">
        <f>E183</f>
        <v>22.47</v>
      </c>
    </row>
    <row r="219" spans="1:5" ht="15" hidden="1">
      <c r="A219" s="271" t="s">
        <v>89</v>
      </c>
      <c r="B219" s="309" t="s">
        <v>120</v>
      </c>
      <c r="C219" s="84" t="s">
        <v>95</v>
      </c>
      <c r="D219" s="73"/>
      <c r="E219" s="265">
        <f>(E216/E218)*100-100</f>
        <v>-0.5785491766800135</v>
      </c>
    </row>
    <row r="220" spans="1:5" ht="15" hidden="1">
      <c r="A220" s="319" t="s">
        <v>252</v>
      </c>
      <c r="B220" s="486" t="s">
        <v>249</v>
      </c>
      <c r="C220" s="479"/>
      <c r="D220" s="479"/>
      <c r="E220" s="481"/>
    </row>
    <row r="221" spans="1:5" ht="15" hidden="1">
      <c r="A221" s="263" t="s">
        <v>15</v>
      </c>
      <c r="B221" s="49" t="s">
        <v>109</v>
      </c>
      <c r="C221" s="304" t="s">
        <v>110</v>
      </c>
      <c r="D221" s="305" t="s">
        <v>111</v>
      </c>
      <c r="E221" s="306">
        <v>0.97</v>
      </c>
    </row>
    <row r="222" spans="1:5" ht="15" hidden="1">
      <c r="A222" s="259" t="s">
        <v>21</v>
      </c>
      <c r="B222" s="73" t="s">
        <v>112</v>
      </c>
      <c r="C222" s="69" t="s">
        <v>110</v>
      </c>
      <c r="D222" s="152" t="s">
        <v>250</v>
      </c>
      <c r="E222" s="300">
        <f>27.79/100*51+6.58+0.11</f>
        <v>20.862899999999996</v>
      </c>
    </row>
    <row r="223" spans="1:5" ht="15" hidden="1">
      <c r="A223" s="271" t="s">
        <v>60</v>
      </c>
      <c r="B223" s="80" t="s">
        <v>117</v>
      </c>
      <c r="C223" s="72" t="s">
        <v>110</v>
      </c>
      <c r="D223" s="152" t="s">
        <v>121</v>
      </c>
      <c r="E223" s="272">
        <f>E221+E222</f>
        <v>21.832899999999995</v>
      </c>
    </row>
    <row r="224" spans="1:5" ht="15.75" hidden="1" thickBot="1">
      <c r="A224" s="274" t="s">
        <v>72</v>
      </c>
      <c r="B224" s="301" t="s">
        <v>118</v>
      </c>
      <c r="C224" s="302" t="s">
        <v>110</v>
      </c>
      <c r="D224" s="277"/>
      <c r="E224" s="303">
        <f>E223*1.21</f>
        <v>26.417808999999995</v>
      </c>
    </row>
    <row r="225" ht="12" customHeight="1" hidden="1"/>
    <row r="226" spans="2:4" ht="15" hidden="1">
      <c r="B226" t="s">
        <v>189</v>
      </c>
      <c r="C226" t="s">
        <v>193</v>
      </c>
      <c r="D226" s="155" t="s">
        <v>190</v>
      </c>
    </row>
    <row r="227" ht="15" hidden="1">
      <c r="C227" s="162" t="s">
        <v>194</v>
      </c>
    </row>
    <row r="228" spans="1:5" ht="15" hidden="1">
      <c r="A228" s="140" t="s">
        <v>0</v>
      </c>
      <c r="B228" s="140"/>
      <c r="E228" s="140" t="s">
        <v>186</v>
      </c>
    </row>
    <row r="229" spans="1:4" ht="15" hidden="1">
      <c r="A229" s="140" t="s">
        <v>1</v>
      </c>
      <c r="B229" s="140"/>
      <c r="D229" s="140" t="s">
        <v>178</v>
      </c>
    </row>
    <row r="230" spans="1:4" ht="15" hidden="1">
      <c r="A230" s="140" t="s">
        <v>2</v>
      </c>
      <c r="B230" s="140"/>
      <c r="D230" s="140" t="s">
        <v>167</v>
      </c>
    </row>
    <row r="231" spans="1:4" ht="15" hidden="1">
      <c r="A231" s="140" t="s">
        <v>3</v>
      </c>
      <c r="B231" s="140"/>
      <c r="D231" s="140" t="s">
        <v>168</v>
      </c>
    </row>
    <row r="232" spans="1:4" ht="15" hidden="1">
      <c r="A232" s="140" t="s">
        <v>4</v>
      </c>
      <c r="B232" s="140"/>
      <c r="D232" s="140" t="s">
        <v>169</v>
      </c>
    </row>
    <row r="233" spans="1:4" ht="15" hidden="1">
      <c r="A233" s="140" t="s">
        <v>5</v>
      </c>
      <c r="B233" s="140"/>
      <c r="D233" s="140" t="s">
        <v>170</v>
      </c>
    </row>
    <row r="234" ht="12" customHeight="1" hidden="1"/>
    <row r="235" spans="1:5" ht="15.75" hidden="1">
      <c r="A235" s="150"/>
      <c r="B235" s="150" t="s">
        <v>270</v>
      </c>
      <c r="C235" s="150"/>
      <c r="D235" s="150"/>
      <c r="E235" s="150"/>
    </row>
    <row r="236" spans="3:4" ht="12" customHeight="1" hidden="1">
      <c r="C236" s="355">
        <v>41690</v>
      </c>
      <c r="D236" s="151"/>
    </row>
    <row r="237" ht="12" customHeight="1" hidden="1">
      <c r="C237" s="156" t="s">
        <v>191</v>
      </c>
    </row>
    <row r="238" spans="1:2" ht="15" hidden="1">
      <c r="A238" s="2" t="s">
        <v>6</v>
      </c>
      <c r="B238" s="2"/>
    </row>
    <row r="239" spans="1:2" ht="15" hidden="1">
      <c r="A239" s="1" t="s">
        <v>195</v>
      </c>
      <c r="B239" s="1"/>
    </row>
    <row r="240" spans="1:2" ht="15" hidden="1">
      <c r="A240" s="1" t="s">
        <v>7</v>
      </c>
      <c r="B240" s="1"/>
    </row>
    <row r="241" ht="15.75" hidden="1" thickBot="1">
      <c r="A241" t="s">
        <v>238</v>
      </c>
    </row>
    <row r="242" spans="1:5" ht="15" hidden="1">
      <c r="A242" s="253" t="s">
        <v>8</v>
      </c>
      <c r="B242" s="254" t="s">
        <v>9</v>
      </c>
      <c r="C242" s="254" t="s">
        <v>10</v>
      </c>
      <c r="D242" s="254" t="s">
        <v>11</v>
      </c>
      <c r="E242" s="256" t="s">
        <v>12</v>
      </c>
    </row>
    <row r="243" spans="1:5" ht="15" hidden="1">
      <c r="A243" s="320" t="s">
        <v>251</v>
      </c>
      <c r="B243" s="487" t="s">
        <v>256</v>
      </c>
      <c r="C243" s="483"/>
      <c r="D243" s="483"/>
      <c r="E243" s="485"/>
    </row>
    <row r="244" spans="1:5" ht="15" hidden="1">
      <c r="A244" s="263" t="s">
        <v>15</v>
      </c>
      <c r="B244" s="26" t="s">
        <v>109</v>
      </c>
      <c r="C244" s="153" t="s">
        <v>110</v>
      </c>
      <c r="D244" s="307" t="s">
        <v>111</v>
      </c>
      <c r="E244" s="316">
        <v>0.97</v>
      </c>
    </row>
    <row r="245" spans="1:5" ht="15" hidden="1">
      <c r="A245" s="263" t="s">
        <v>21</v>
      </c>
      <c r="B245" s="73" t="s">
        <v>112</v>
      </c>
      <c r="C245" s="153" t="s">
        <v>110</v>
      </c>
      <c r="D245" s="307" t="s">
        <v>187</v>
      </c>
      <c r="E245" s="300">
        <v>21.55</v>
      </c>
    </row>
    <row r="246" spans="1:5" ht="15" hidden="1">
      <c r="A246" s="317" t="s">
        <v>60</v>
      </c>
      <c r="B246" s="68" t="s">
        <v>113</v>
      </c>
      <c r="C246" s="13" t="s">
        <v>59</v>
      </c>
      <c r="D246" s="68"/>
      <c r="E246" s="265">
        <f>Lapas1!E700</f>
        <v>28.126129823830308</v>
      </c>
    </row>
    <row r="247" spans="1:5" ht="15" hidden="1">
      <c r="A247" s="317" t="s">
        <v>72</v>
      </c>
      <c r="B247" s="68" t="s">
        <v>114</v>
      </c>
      <c r="C247" s="153" t="s">
        <v>110</v>
      </c>
      <c r="D247" s="153" t="s">
        <v>188</v>
      </c>
      <c r="E247" s="264">
        <v>6.58</v>
      </c>
    </row>
    <row r="248" spans="1:5" ht="15" hidden="1">
      <c r="A248" s="317" t="s">
        <v>115</v>
      </c>
      <c r="B248" s="68" t="s">
        <v>116</v>
      </c>
      <c r="C248" s="153" t="s">
        <v>110</v>
      </c>
      <c r="D248" s="153" t="s">
        <v>188</v>
      </c>
      <c r="E248" s="318">
        <v>11.21</v>
      </c>
    </row>
    <row r="249" spans="1:5" ht="15" hidden="1">
      <c r="A249" s="271" t="s">
        <v>84</v>
      </c>
      <c r="B249" s="308" t="s">
        <v>117</v>
      </c>
      <c r="C249" s="153" t="s">
        <v>110</v>
      </c>
      <c r="D249" s="307" t="s">
        <v>121</v>
      </c>
      <c r="E249" s="272">
        <f>E244+E245</f>
        <v>22.52</v>
      </c>
    </row>
    <row r="250" spans="1:5" ht="15" hidden="1">
      <c r="A250" s="271" t="s">
        <v>85</v>
      </c>
      <c r="B250" s="308" t="s">
        <v>118</v>
      </c>
      <c r="C250" s="153" t="s">
        <v>110</v>
      </c>
      <c r="D250" s="73"/>
      <c r="E250" s="265">
        <f>E249*1.09</f>
        <v>24.5468</v>
      </c>
    </row>
    <row r="251" spans="1:5" ht="15" hidden="1">
      <c r="A251" s="271" t="s">
        <v>87</v>
      </c>
      <c r="B251" s="308" t="s">
        <v>119</v>
      </c>
      <c r="C251" s="153" t="s">
        <v>110</v>
      </c>
      <c r="D251" s="73"/>
      <c r="E251" s="273">
        <f>E216</f>
        <v>22.34</v>
      </c>
    </row>
    <row r="252" spans="1:5" ht="15" hidden="1">
      <c r="A252" s="271" t="s">
        <v>89</v>
      </c>
      <c r="B252" s="309" t="s">
        <v>120</v>
      </c>
      <c r="C252" s="84" t="s">
        <v>95</v>
      </c>
      <c r="D252" s="73"/>
      <c r="E252" s="265">
        <f>(E249/E251)*100-100</f>
        <v>0.8057296329453862</v>
      </c>
    </row>
    <row r="253" spans="1:5" ht="15" hidden="1">
      <c r="A253" s="319" t="s">
        <v>252</v>
      </c>
      <c r="B253" s="486" t="s">
        <v>249</v>
      </c>
      <c r="C253" s="479"/>
      <c r="D253" s="479"/>
      <c r="E253" s="481"/>
    </row>
    <row r="254" spans="1:5" ht="15" hidden="1">
      <c r="A254" s="263" t="s">
        <v>15</v>
      </c>
      <c r="B254" s="49" t="s">
        <v>109</v>
      </c>
      <c r="C254" s="304" t="s">
        <v>110</v>
      </c>
      <c r="D254" s="305" t="s">
        <v>111</v>
      </c>
      <c r="E254" s="306">
        <v>0.97</v>
      </c>
    </row>
    <row r="255" spans="1:5" ht="15" hidden="1">
      <c r="A255" s="259" t="s">
        <v>21</v>
      </c>
      <c r="B255" s="73" t="s">
        <v>112</v>
      </c>
      <c r="C255" s="69" t="s">
        <v>110</v>
      </c>
      <c r="D255" s="152" t="s">
        <v>250</v>
      </c>
      <c r="E255" s="300">
        <f>28.13/100*51+6.58+0.11</f>
        <v>21.036299999999997</v>
      </c>
    </row>
    <row r="256" spans="1:5" ht="15" hidden="1">
      <c r="A256" s="271" t="s">
        <v>60</v>
      </c>
      <c r="B256" s="80" t="s">
        <v>117</v>
      </c>
      <c r="C256" s="72" t="s">
        <v>110</v>
      </c>
      <c r="D256" s="152" t="s">
        <v>121</v>
      </c>
      <c r="E256" s="272">
        <f>E254+E255</f>
        <v>22.006299999999996</v>
      </c>
    </row>
    <row r="257" spans="1:5" ht="15.75" hidden="1" thickBot="1">
      <c r="A257" s="274" t="s">
        <v>72</v>
      </c>
      <c r="B257" s="301" t="s">
        <v>118</v>
      </c>
      <c r="C257" s="302" t="s">
        <v>110</v>
      </c>
      <c r="D257" s="277"/>
      <c r="E257" s="303">
        <f>E256*1.21</f>
        <v>26.627622999999993</v>
      </c>
    </row>
    <row r="258" ht="12" customHeight="1" hidden="1"/>
    <row r="259" spans="2:4" ht="15" hidden="1">
      <c r="B259" t="s">
        <v>189</v>
      </c>
      <c r="C259" t="s">
        <v>193</v>
      </c>
      <c r="D259" s="155" t="s">
        <v>190</v>
      </c>
    </row>
    <row r="260" spans="1:5" ht="15" hidden="1">
      <c r="A260" s="140" t="s">
        <v>0</v>
      </c>
      <c r="B260" s="140"/>
      <c r="E260" s="140" t="s">
        <v>186</v>
      </c>
    </row>
    <row r="261" spans="1:4" ht="15" hidden="1">
      <c r="A261" s="140" t="s">
        <v>1</v>
      </c>
      <c r="B261" s="140"/>
      <c r="D261" s="140" t="s">
        <v>178</v>
      </c>
    </row>
    <row r="262" spans="1:4" ht="15" hidden="1">
      <c r="A262" s="140" t="s">
        <v>2</v>
      </c>
      <c r="B262" s="140"/>
      <c r="D262" s="140" t="s">
        <v>167</v>
      </c>
    </row>
    <row r="263" spans="1:4" ht="15" hidden="1">
      <c r="A263" s="140" t="s">
        <v>3</v>
      </c>
      <c r="B263" s="140"/>
      <c r="D263" s="140" t="s">
        <v>168</v>
      </c>
    </row>
    <row r="264" spans="1:4" ht="15" hidden="1">
      <c r="A264" s="140" t="s">
        <v>4</v>
      </c>
      <c r="B264" s="140"/>
      <c r="D264" s="140" t="s">
        <v>169</v>
      </c>
    </row>
    <row r="265" spans="1:4" ht="15" hidden="1">
      <c r="A265" s="140" t="s">
        <v>5</v>
      </c>
      <c r="B265" s="140"/>
      <c r="D265" s="140" t="s">
        <v>170</v>
      </c>
    </row>
    <row r="266" ht="15" hidden="1"/>
    <row r="267" spans="1:5" ht="15.75" hidden="1">
      <c r="A267" s="150"/>
      <c r="B267" s="150" t="s">
        <v>273</v>
      </c>
      <c r="C267" s="150"/>
      <c r="D267" s="150"/>
      <c r="E267" s="150"/>
    </row>
    <row r="268" spans="3:4" ht="15" hidden="1">
      <c r="C268" s="355">
        <v>41718</v>
      </c>
      <c r="D268" s="151"/>
    </row>
    <row r="269" ht="15" hidden="1">
      <c r="C269" s="156" t="s">
        <v>191</v>
      </c>
    </row>
    <row r="270" spans="1:2" ht="15" hidden="1">
      <c r="A270" s="2" t="s">
        <v>6</v>
      </c>
      <c r="B270" s="2"/>
    </row>
    <row r="271" spans="1:2" ht="15" hidden="1">
      <c r="A271" s="1" t="s">
        <v>195</v>
      </c>
      <c r="B271" s="1"/>
    </row>
    <row r="272" spans="1:2" ht="15" hidden="1">
      <c r="A272" s="1" t="s">
        <v>7</v>
      </c>
      <c r="B272" s="1"/>
    </row>
    <row r="273" spans="1:2" ht="15.75" hidden="1" thickBot="1">
      <c r="A273" s="358" t="s">
        <v>274</v>
      </c>
      <c r="B273" s="358"/>
    </row>
    <row r="274" spans="1:5" ht="15" hidden="1">
      <c r="A274" s="253" t="s">
        <v>8</v>
      </c>
      <c r="B274" s="254" t="s">
        <v>9</v>
      </c>
      <c r="C274" s="254" t="s">
        <v>10</v>
      </c>
      <c r="D274" s="254" t="s">
        <v>11</v>
      </c>
      <c r="E274" s="256" t="s">
        <v>12</v>
      </c>
    </row>
    <row r="275" spans="1:5" ht="15" hidden="1">
      <c r="A275" s="320" t="s">
        <v>251</v>
      </c>
      <c r="B275" s="487" t="s">
        <v>256</v>
      </c>
      <c r="C275" s="483"/>
      <c r="D275" s="483"/>
      <c r="E275" s="485"/>
    </row>
    <row r="276" spans="1:5" ht="15" hidden="1">
      <c r="A276" s="263" t="s">
        <v>15</v>
      </c>
      <c r="B276" s="26" t="s">
        <v>109</v>
      </c>
      <c r="C276" s="153" t="s">
        <v>110</v>
      </c>
      <c r="D276" s="307" t="s">
        <v>111</v>
      </c>
      <c r="E276" s="316">
        <v>0.54</v>
      </c>
    </row>
    <row r="277" spans="1:5" ht="15" hidden="1">
      <c r="A277" s="263" t="s">
        <v>21</v>
      </c>
      <c r="B277" s="73" t="s">
        <v>112</v>
      </c>
      <c r="C277" s="153" t="s">
        <v>110</v>
      </c>
      <c r="D277" s="307" t="s">
        <v>275</v>
      </c>
      <c r="E277" s="300">
        <v>21.82</v>
      </c>
    </row>
    <row r="278" spans="1:5" ht="15" hidden="1">
      <c r="A278" s="317" t="s">
        <v>60</v>
      </c>
      <c r="B278" s="68" t="s">
        <v>113</v>
      </c>
      <c r="C278" s="13" t="s">
        <v>59</v>
      </c>
      <c r="D278" s="68"/>
      <c r="E278" s="265">
        <v>27.86</v>
      </c>
    </row>
    <row r="279" spans="1:5" ht="15" hidden="1">
      <c r="A279" s="317" t="s">
        <v>72</v>
      </c>
      <c r="B279" s="68" t="s">
        <v>114</v>
      </c>
      <c r="C279" s="153" t="s">
        <v>110</v>
      </c>
      <c r="D279" s="153" t="s">
        <v>188</v>
      </c>
      <c r="E279" s="264">
        <v>6.58</v>
      </c>
    </row>
    <row r="280" spans="1:5" ht="15" hidden="1">
      <c r="A280" s="317" t="s">
        <v>115</v>
      </c>
      <c r="B280" s="68" t="s">
        <v>116</v>
      </c>
      <c r="C280" s="153" t="s">
        <v>110</v>
      </c>
      <c r="D280" s="153" t="s">
        <v>188</v>
      </c>
      <c r="E280" s="318">
        <v>11.21</v>
      </c>
    </row>
    <row r="281" spans="1:5" ht="15" hidden="1">
      <c r="A281" s="271" t="s">
        <v>84</v>
      </c>
      <c r="B281" s="308" t="s">
        <v>117</v>
      </c>
      <c r="C281" s="153" t="s">
        <v>110</v>
      </c>
      <c r="D281" s="307" t="s">
        <v>121</v>
      </c>
      <c r="E281" s="272">
        <f>E276+E277</f>
        <v>22.36</v>
      </c>
    </row>
    <row r="282" spans="1:5" ht="15" hidden="1">
      <c r="A282" s="271" t="s">
        <v>85</v>
      </c>
      <c r="B282" s="308" t="s">
        <v>118</v>
      </c>
      <c r="C282" s="153" t="s">
        <v>110</v>
      </c>
      <c r="D282" s="73"/>
      <c r="E282" s="265">
        <f>E281*1.09</f>
        <v>24.372400000000003</v>
      </c>
    </row>
    <row r="283" spans="1:5" ht="15" hidden="1">
      <c r="A283" s="271" t="s">
        <v>87</v>
      </c>
      <c r="B283" s="308" t="s">
        <v>119</v>
      </c>
      <c r="C283" s="153" t="s">
        <v>110</v>
      </c>
      <c r="D283" s="73"/>
      <c r="E283" s="273">
        <v>22.52</v>
      </c>
    </row>
    <row r="284" spans="1:5" ht="15" hidden="1">
      <c r="A284" s="271" t="s">
        <v>89</v>
      </c>
      <c r="B284" s="309" t="s">
        <v>120</v>
      </c>
      <c r="C284" s="84" t="s">
        <v>95</v>
      </c>
      <c r="D284" s="73"/>
      <c r="E284" s="265">
        <f>(E281/E283)*100-100</f>
        <v>-0.7104795737122487</v>
      </c>
    </row>
    <row r="285" spans="1:5" ht="15" hidden="1">
      <c r="A285" s="319" t="s">
        <v>252</v>
      </c>
      <c r="B285" s="486" t="s">
        <v>249</v>
      </c>
      <c r="C285" s="479"/>
      <c r="D285" s="479"/>
      <c r="E285" s="481"/>
    </row>
    <row r="286" spans="1:5" ht="15" hidden="1">
      <c r="A286" s="263" t="s">
        <v>15</v>
      </c>
      <c r="B286" s="49" t="s">
        <v>109</v>
      </c>
      <c r="C286" s="304" t="s">
        <v>110</v>
      </c>
      <c r="D286" s="305" t="s">
        <v>111</v>
      </c>
      <c r="E286" s="306">
        <v>0.54</v>
      </c>
    </row>
    <row r="287" spans="1:5" ht="15" hidden="1">
      <c r="A287" s="259" t="s">
        <v>21</v>
      </c>
      <c r="B287" s="73" t="s">
        <v>112</v>
      </c>
      <c r="C287" s="69" t="s">
        <v>110</v>
      </c>
      <c r="D287" s="152" t="s">
        <v>276</v>
      </c>
      <c r="E287" s="300">
        <v>21.15</v>
      </c>
    </row>
    <row r="288" spans="1:5" ht="15" hidden="1">
      <c r="A288" s="271" t="s">
        <v>60</v>
      </c>
      <c r="B288" s="80" t="s">
        <v>117</v>
      </c>
      <c r="C288" s="72" t="s">
        <v>110</v>
      </c>
      <c r="D288" s="152" t="s">
        <v>121</v>
      </c>
      <c r="E288" s="272">
        <f>E286+E287</f>
        <v>21.689999999999998</v>
      </c>
    </row>
    <row r="289" spans="1:5" ht="15.75" hidden="1" thickBot="1">
      <c r="A289" s="274" t="s">
        <v>72</v>
      </c>
      <c r="B289" s="301" t="s">
        <v>118</v>
      </c>
      <c r="C289" s="302" t="s">
        <v>110</v>
      </c>
      <c r="D289" s="277"/>
      <c r="E289" s="303">
        <f>E288*1.21</f>
        <v>26.244899999999998</v>
      </c>
    </row>
    <row r="290" ht="15" hidden="1"/>
    <row r="291" spans="2:4" ht="15" hidden="1">
      <c r="B291" t="s">
        <v>189</v>
      </c>
      <c r="C291" t="s">
        <v>193</v>
      </c>
      <c r="D291" s="155" t="s">
        <v>190</v>
      </c>
    </row>
    <row r="292" spans="1:5" ht="15" hidden="1">
      <c r="A292" s="140" t="s">
        <v>0</v>
      </c>
      <c r="B292" s="140"/>
      <c r="E292" s="140" t="s">
        <v>186</v>
      </c>
    </row>
    <row r="293" spans="1:4" ht="15" hidden="1">
      <c r="A293" s="140" t="s">
        <v>1</v>
      </c>
      <c r="B293" s="140"/>
      <c r="D293" s="140" t="s">
        <v>178</v>
      </c>
    </row>
    <row r="294" spans="1:4" ht="15" hidden="1">
      <c r="A294" s="140" t="s">
        <v>2</v>
      </c>
      <c r="B294" s="140"/>
      <c r="D294" s="140" t="s">
        <v>167</v>
      </c>
    </row>
    <row r="295" spans="1:4" ht="15" hidden="1">
      <c r="A295" s="140" t="s">
        <v>3</v>
      </c>
      <c r="B295" s="140"/>
      <c r="D295" s="140" t="s">
        <v>168</v>
      </c>
    </row>
    <row r="296" spans="1:4" ht="15" hidden="1">
      <c r="A296" s="140" t="s">
        <v>4</v>
      </c>
      <c r="B296" s="140"/>
      <c r="D296" s="140" t="s">
        <v>169</v>
      </c>
    </row>
    <row r="297" spans="1:4" ht="15" hidden="1">
      <c r="A297" s="140" t="s">
        <v>5</v>
      </c>
      <c r="B297" s="140"/>
      <c r="D297" s="140" t="s">
        <v>170</v>
      </c>
    </row>
    <row r="298" ht="15" hidden="1"/>
    <row r="299" spans="1:5" ht="15.75" hidden="1">
      <c r="A299" s="150"/>
      <c r="B299" s="150" t="s">
        <v>280</v>
      </c>
      <c r="C299" s="150"/>
      <c r="D299" s="150"/>
      <c r="E299" s="150"/>
    </row>
    <row r="300" spans="3:4" ht="15" hidden="1">
      <c r="C300" s="355">
        <v>41754</v>
      </c>
      <c r="D300" s="151"/>
    </row>
    <row r="301" ht="15" hidden="1">
      <c r="C301" s="156" t="s">
        <v>191</v>
      </c>
    </row>
    <row r="302" spans="1:2" ht="15" hidden="1">
      <c r="A302" s="2" t="s">
        <v>6</v>
      </c>
      <c r="B302" s="2"/>
    </row>
    <row r="303" spans="1:2" ht="15" hidden="1">
      <c r="A303" s="1" t="s">
        <v>195</v>
      </c>
      <c r="B303" s="1"/>
    </row>
    <row r="304" spans="1:2" ht="15" hidden="1">
      <c r="A304" s="1" t="s">
        <v>7</v>
      </c>
      <c r="B304" s="1"/>
    </row>
    <row r="305" spans="1:2" ht="15.75" hidden="1" thickBot="1">
      <c r="A305" s="358" t="s">
        <v>274</v>
      </c>
      <c r="B305" s="358"/>
    </row>
    <row r="306" spans="1:5" ht="15" hidden="1">
      <c r="A306" s="253" t="s">
        <v>8</v>
      </c>
      <c r="B306" s="254" t="s">
        <v>9</v>
      </c>
      <c r="C306" s="254" t="s">
        <v>10</v>
      </c>
      <c r="D306" s="254" t="s">
        <v>11</v>
      </c>
      <c r="E306" s="256" t="s">
        <v>12</v>
      </c>
    </row>
    <row r="307" spans="1:5" ht="15" hidden="1">
      <c r="A307" s="320" t="s">
        <v>251</v>
      </c>
      <c r="B307" s="487" t="s">
        <v>256</v>
      </c>
      <c r="C307" s="483"/>
      <c r="D307" s="483"/>
      <c r="E307" s="485"/>
    </row>
    <row r="308" spans="1:5" ht="15" hidden="1">
      <c r="A308" s="263" t="s">
        <v>15</v>
      </c>
      <c r="B308" s="26" t="s">
        <v>109</v>
      </c>
      <c r="C308" s="153" t="s">
        <v>110</v>
      </c>
      <c r="D308" s="307" t="s">
        <v>111</v>
      </c>
      <c r="E308" s="316">
        <v>0.54</v>
      </c>
    </row>
    <row r="309" spans="1:7" ht="15" hidden="1">
      <c r="A309" s="263" t="s">
        <v>21</v>
      </c>
      <c r="B309" s="73" t="s">
        <v>112</v>
      </c>
      <c r="C309" s="153" t="s">
        <v>110</v>
      </c>
      <c r="D309" s="307" t="s">
        <v>275</v>
      </c>
      <c r="E309" s="300">
        <f>14.73+6.78+0.36</f>
        <v>21.87</v>
      </c>
      <c r="G309">
        <f>27.95/100*52.69</f>
        <v>14.726854999999999</v>
      </c>
    </row>
    <row r="310" spans="1:7" ht="15" hidden="1">
      <c r="A310" s="317" t="s">
        <v>60</v>
      </c>
      <c r="B310" s="68" t="s">
        <v>113</v>
      </c>
      <c r="C310" s="13" t="s">
        <v>59</v>
      </c>
      <c r="D310" s="68"/>
      <c r="E310" s="265">
        <f>Lapas1!E880</f>
        <v>27.950462077127657</v>
      </c>
      <c r="G310">
        <f>6.58*1.03</f>
        <v>6.7774</v>
      </c>
    </row>
    <row r="311" spans="1:7" ht="15" hidden="1">
      <c r="A311" s="317" t="s">
        <v>72</v>
      </c>
      <c r="B311" s="68" t="s">
        <v>114</v>
      </c>
      <c r="C311" s="153" t="s">
        <v>110</v>
      </c>
      <c r="D311" s="153" t="s">
        <v>188</v>
      </c>
      <c r="E311" s="264">
        <v>6.58</v>
      </c>
      <c r="G311">
        <f>11.21*0.032</f>
        <v>0.35872000000000004</v>
      </c>
    </row>
    <row r="312" spans="1:7" ht="15" hidden="1">
      <c r="A312" s="317" t="s">
        <v>115</v>
      </c>
      <c r="B312" s="68" t="s">
        <v>116</v>
      </c>
      <c r="C312" s="153" t="s">
        <v>110</v>
      </c>
      <c r="D312" s="153" t="s">
        <v>188</v>
      </c>
      <c r="E312" s="318">
        <v>11.21</v>
      </c>
      <c r="G312">
        <f>SUM(G309:G311)</f>
        <v>21.862975000000002</v>
      </c>
    </row>
    <row r="313" spans="1:5" ht="15" hidden="1">
      <c r="A313" s="271" t="s">
        <v>84</v>
      </c>
      <c r="B313" s="308" t="s">
        <v>117</v>
      </c>
      <c r="C313" s="153" t="s">
        <v>110</v>
      </c>
      <c r="D313" s="307" t="s">
        <v>121</v>
      </c>
      <c r="E313" s="272">
        <f>E308+E309</f>
        <v>22.41</v>
      </c>
    </row>
    <row r="314" spans="1:5" ht="15" hidden="1">
      <c r="A314" s="271" t="s">
        <v>85</v>
      </c>
      <c r="B314" s="308" t="s">
        <v>118</v>
      </c>
      <c r="C314" s="153" t="s">
        <v>110</v>
      </c>
      <c r="D314" s="73"/>
      <c r="E314" s="265">
        <f>E313*1.09</f>
        <v>24.426900000000003</v>
      </c>
    </row>
    <row r="315" spans="1:5" ht="15" hidden="1">
      <c r="A315" s="271" t="s">
        <v>87</v>
      </c>
      <c r="B315" s="308" t="s">
        <v>119</v>
      </c>
      <c r="C315" s="153" t="s">
        <v>110</v>
      </c>
      <c r="D315" s="73"/>
      <c r="E315" s="273">
        <v>22.52</v>
      </c>
    </row>
    <row r="316" spans="1:5" ht="15" hidden="1">
      <c r="A316" s="271" t="s">
        <v>89</v>
      </c>
      <c r="B316" s="309" t="s">
        <v>120</v>
      </c>
      <c r="C316" s="84" t="s">
        <v>95</v>
      </c>
      <c r="D316" s="73"/>
      <c r="E316" s="265">
        <f>(E313/E315)*100-100</f>
        <v>-0.48845470692717186</v>
      </c>
    </row>
    <row r="317" spans="1:5" ht="15" hidden="1">
      <c r="A317" s="319" t="s">
        <v>252</v>
      </c>
      <c r="B317" s="486" t="s">
        <v>249</v>
      </c>
      <c r="C317" s="479"/>
      <c r="D317" s="479"/>
      <c r="E317" s="481"/>
    </row>
    <row r="318" spans="1:5" ht="15" hidden="1">
      <c r="A318" s="263" t="s">
        <v>15</v>
      </c>
      <c r="B318" s="49" t="s">
        <v>109</v>
      </c>
      <c r="C318" s="304" t="s">
        <v>110</v>
      </c>
      <c r="D318" s="305" t="s">
        <v>111</v>
      </c>
      <c r="E318" s="306">
        <v>0.54</v>
      </c>
    </row>
    <row r="319" spans="1:5" ht="15" hidden="1">
      <c r="A319" s="259" t="s">
        <v>21</v>
      </c>
      <c r="B319" s="73" t="s">
        <v>112</v>
      </c>
      <c r="C319" s="69" t="s">
        <v>110</v>
      </c>
      <c r="D319" s="152" t="s">
        <v>276</v>
      </c>
      <c r="E319" s="300">
        <f>14.25+6.58+0.36</f>
        <v>21.189999999999998</v>
      </c>
    </row>
    <row r="320" spans="1:5" ht="15" hidden="1">
      <c r="A320" s="271" t="s">
        <v>60</v>
      </c>
      <c r="B320" s="80" t="s">
        <v>117</v>
      </c>
      <c r="C320" s="72" t="s">
        <v>110</v>
      </c>
      <c r="D320" s="152" t="s">
        <v>121</v>
      </c>
      <c r="E320" s="272">
        <f>E318+E319</f>
        <v>21.729999999999997</v>
      </c>
    </row>
    <row r="321" spans="1:5" ht="15.75" hidden="1" thickBot="1">
      <c r="A321" s="274" t="s">
        <v>72</v>
      </c>
      <c r="B321" s="301" t="s">
        <v>118</v>
      </c>
      <c r="C321" s="302" t="s">
        <v>110</v>
      </c>
      <c r="D321" s="277"/>
      <c r="E321" s="303">
        <f>E320*1.21</f>
        <v>26.293299999999995</v>
      </c>
    </row>
    <row r="322" ht="15" hidden="1"/>
    <row r="323" spans="2:4" ht="15" hidden="1">
      <c r="B323" t="s">
        <v>189</v>
      </c>
      <c r="C323" t="s">
        <v>193</v>
      </c>
      <c r="D323" s="155" t="s">
        <v>190</v>
      </c>
    </row>
    <row r="324" spans="1:5" ht="15" hidden="1">
      <c r="A324" s="140" t="s">
        <v>0</v>
      </c>
      <c r="B324" s="140"/>
      <c r="E324" s="140" t="s">
        <v>186</v>
      </c>
    </row>
    <row r="325" spans="1:4" ht="15" hidden="1">
      <c r="A325" s="140" t="s">
        <v>1</v>
      </c>
      <c r="B325" s="140"/>
      <c r="D325" s="140" t="s">
        <v>178</v>
      </c>
    </row>
    <row r="326" spans="1:4" ht="15" hidden="1">
      <c r="A326" s="140" t="s">
        <v>2</v>
      </c>
      <c r="B326" s="140"/>
      <c r="D326" s="140" t="s">
        <v>167</v>
      </c>
    </row>
    <row r="327" spans="1:4" ht="15" hidden="1">
      <c r="A327" s="140" t="s">
        <v>3</v>
      </c>
      <c r="B327" s="140"/>
      <c r="D327" s="140" t="s">
        <v>168</v>
      </c>
    </row>
    <row r="328" spans="1:4" ht="15" hidden="1">
      <c r="A328" s="140" t="s">
        <v>4</v>
      </c>
      <c r="B328" s="140"/>
      <c r="D328" s="140" t="s">
        <v>169</v>
      </c>
    </row>
    <row r="329" spans="1:4" ht="15" hidden="1">
      <c r="A329" s="140" t="s">
        <v>5</v>
      </c>
      <c r="B329" s="140"/>
      <c r="D329" s="140" t="s">
        <v>170</v>
      </c>
    </row>
    <row r="330" ht="15" hidden="1"/>
    <row r="331" spans="1:5" ht="15.75" hidden="1">
      <c r="A331" s="150"/>
      <c r="B331" s="150" t="s">
        <v>283</v>
      </c>
      <c r="C331" s="150"/>
      <c r="D331" s="150"/>
      <c r="E331" s="150"/>
    </row>
    <row r="332" spans="3:4" ht="15" hidden="1">
      <c r="C332" s="355">
        <v>41749</v>
      </c>
      <c r="D332" s="151"/>
    </row>
    <row r="333" ht="15" hidden="1">
      <c r="C333" s="156" t="s">
        <v>191</v>
      </c>
    </row>
    <row r="334" spans="1:2" ht="15" hidden="1">
      <c r="A334" s="2" t="s">
        <v>6</v>
      </c>
      <c r="B334" s="2"/>
    </row>
    <row r="335" spans="1:2" ht="15" hidden="1">
      <c r="A335" s="1" t="s">
        <v>195</v>
      </c>
      <c r="B335" s="1"/>
    </row>
    <row r="336" spans="1:2" ht="15" hidden="1">
      <c r="A336" s="1" t="s">
        <v>7</v>
      </c>
      <c r="B336" s="1"/>
    </row>
    <row r="337" spans="1:2" ht="15.75" hidden="1" thickBot="1">
      <c r="A337" s="358" t="s">
        <v>274</v>
      </c>
      <c r="B337" s="358"/>
    </row>
    <row r="338" spans="1:5" ht="15" hidden="1">
      <c r="A338" s="253" t="s">
        <v>8</v>
      </c>
      <c r="B338" s="254" t="s">
        <v>9</v>
      </c>
      <c r="C338" s="254" t="s">
        <v>10</v>
      </c>
      <c r="D338" s="254" t="s">
        <v>11</v>
      </c>
      <c r="E338" s="256" t="s">
        <v>12</v>
      </c>
    </row>
    <row r="339" spans="1:5" ht="15" hidden="1">
      <c r="A339" s="320" t="s">
        <v>251</v>
      </c>
      <c r="B339" s="487" t="s">
        <v>256</v>
      </c>
      <c r="C339" s="483"/>
      <c r="D339" s="483"/>
      <c r="E339" s="485"/>
    </row>
    <row r="340" spans="1:5" ht="15" hidden="1">
      <c r="A340" s="263" t="s">
        <v>15</v>
      </c>
      <c r="B340" s="26" t="s">
        <v>109</v>
      </c>
      <c r="C340" s="153" t="s">
        <v>110</v>
      </c>
      <c r="D340" s="307" t="s">
        <v>111</v>
      </c>
      <c r="E340" s="316">
        <v>0.54</v>
      </c>
    </row>
    <row r="341" spans="1:7" ht="15" hidden="1">
      <c r="A341" s="263" t="s">
        <v>21</v>
      </c>
      <c r="B341" s="73" t="s">
        <v>112</v>
      </c>
      <c r="C341" s="153" t="s">
        <v>110</v>
      </c>
      <c r="D341" s="307" t="s">
        <v>275</v>
      </c>
      <c r="E341" s="300">
        <f>14.63+6.78+0.36</f>
        <v>21.77</v>
      </c>
      <c r="G341">
        <f>27.95/100*52.69</f>
        <v>14.726854999999999</v>
      </c>
    </row>
    <row r="342" spans="1:7" ht="15" hidden="1">
      <c r="A342" s="317" t="s">
        <v>60</v>
      </c>
      <c r="B342" s="68" t="s">
        <v>113</v>
      </c>
      <c r="C342" s="13" t="s">
        <v>59</v>
      </c>
      <c r="D342" s="68"/>
      <c r="E342" s="265">
        <f>Lapas1!E971</f>
        <v>27.771551944148936</v>
      </c>
      <c r="G342">
        <f>6.58*1.03</f>
        <v>6.7774</v>
      </c>
    </row>
    <row r="343" spans="1:7" ht="15" hidden="1">
      <c r="A343" s="317" t="s">
        <v>72</v>
      </c>
      <c r="B343" s="68" t="s">
        <v>114</v>
      </c>
      <c r="C343" s="153" t="s">
        <v>110</v>
      </c>
      <c r="D343" s="153" t="s">
        <v>188</v>
      </c>
      <c r="E343" s="264">
        <v>6.58</v>
      </c>
      <c r="G343">
        <f>11.21*0.032</f>
        <v>0.35872000000000004</v>
      </c>
    </row>
    <row r="344" spans="1:7" ht="15" hidden="1">
      <c r="A344" s="317" t="s">
        <v>115</v>
      </c>
      <c r="B344" s="68" t="s">
        <v>116</v>
      </c>
      <c r="C344" s="153" t="s">
        <v>110</v>
      </c>
      <c r="D344" s="153" t="s">
        <v>188</v>
      </c>
      <c r="E344" s="318">
        <v>11.21</v>
      </c>
      <c r="G344">
        <f>SUM(G341:G343)</f>
        <v>21.862975000000002</v>
      </c>
    </row>
    <row r="345" spans="1:5" ht="15" hidden="1">
      <c r="A345" s="271" t="s">
        <v>84</v>
      </c>
      <c r="B345" s="308" t="s">
        <v>117</v>
      </c>
      <c r="C345" s="153" t="s">
        <v>110</v>
      </c>
      <c r="D345" s="307" t="s">
        <v>121</v>
      </c>
      <c r="E345" s="272">
        <f>E340+E341</f>
        <v>22.31</v>
      </c>
    </row>
    <row r="346" spans="1:5" ht="15" hidden="1">
      <c r="A346" s="271" t="s">
        <v>85</v>
      </c>
      <c r="B346" s="308" t="s">
        <v>118</v>
      </c>
      <c r="C346" s="153" t="s">
        <v>110</v>
      </c>
      <c r="D346" s="73"/>
      <c r="E346" s="265">
        <f>E345*1.09</f>
        <v>24.3179</v>
      </c>
    </row>
    <row r="347" spans="1:5" ht="15" hidden="1">
      <c r="A347" s="271" t="s">
        <v>87</v>
      </c>
      <c r="B347" s="308" t="s">
        <v>119</v>
      </c>
      <c r="C347" s="153" t="s">
        <v>110</v>
      </c>
      <c r="D347" s="73"/>
      <c r="E347" s="273">
        <v>22.41</v>
      </c>
    </row>
    <row r="348" spans="1:5" ht="15" hidden="1">
      <c r="A348" s="271" t="s">
        <v>89</v>
      </c>
      <c r="B348" s="309" t="s">
        <v>120</v>
      </c>
      <c r="C348" s="84" t="s">
        <v>95</v>
      </c>
      <c r="D348" s="73"/>
      <c r="E348" s="265">
        <f>(E345/E347)*100-100</f>
        <v>-0.44622936189200857</v>
      </c>
    </row>
    <row r="349" spans="1:5" ht="15" hidden="1">
      <c r="A349" s="319" t="s">
        <v>252</v>
      </c>
      <c r="B349" s="486" t="s">
        <v>249</v>
      </c>
      <c r="C349" s="479"/>
      <c r="D349" s="479"/>
      <c r="E349" s="481"/>
    </row>
    <row r="350" spans="1:5" ht="15" hidden="1">
      <c r="A350" s="263" t="s">
        <v>15</v>
      </c>
      <c r="B350" s="49" t="s">
        <v>109</v>
      </c>
      <c r="C350" s="304" t="s">
        <v>110</v>
      </c>
      <c r="D350" s="305" t="s">
        <v>111</v>
      </c>
      <c r="E350" s="306">
        <v>0.54</v>
      </c>
    </row>
    <row r="351" spans="1:5" ht="15" hidden="1">
      <c r="A351" s="259" t="s">
        <v>21</v>
      </c>
      <c r="B351" s="73" t="s">
        <v>112</v>
      </c>
      <c r="C351" s="69" t="s">
        <v>110</v>
      </c>
      <c r="D351" s="152" t="s">
        <v>276</v>
      </c>
      <c r="E351" s="300">
        <f>14.16+6.58+0.36</f>
        <v>21.1</v>
      </c>
    </row>
    <row r="352" spans="1:5" ht="15" hidden="1">
      <c r="A352" s="271" t="s">
        <v>60</v>
      </c>
      <c r="B352" s="80" t="s">
        <v>117</v>
      </c>
      <c r="C352" s="72" t="s">
        <v>110</v>
      </c>
      <c r="D352" s="152" t="s">
        <v>121</v>
      </c>
      <c r="E352" s="272">
        <f>E350+E351</f>
        <v>21.64</v>
      </c>
    </row>
    <row r="353" spans="1:5" ht="15.75" hidden="1" thickBot="1">
      <c r="A353" s="274" t="s">
        <v>72</v>
      </c>
      <c r="B353" s="301" t="s">
        <v>118</v>
      </c>
      <c r="C353" s="302" t="s">
        <v>110</v>
      </c>
      <c r="D353" s="277"/>
      <c r="E353" s="303">
        <f>E352*1.21</f>
        <v>26.1844</v>
      </c>
    </row>
    <row r="354" ht="15" hidden="1"/>
    <row r="355" spans="2:4" ht="15" hidden="1">
      <c r="B355" t="s">
        <v>189</v>
      </c>
      <c r="C355" t="s">
        <v>193</v>
      </c>
      <c r="D355" s="155" t="s">
        <v>190</v>
      </c>
    </row>
    <row r="356" spans="1:5" ht="15" hidden="1">
      <c r="A356" s="140" t="s">
        <v>0</v>
      </c>
      <c r="B356" s="140"/>
      <c r="E356" s="140" t="s">
        <v>186</v>
      </c>
    </row>
    <row r="357" spans="1:4" ht="15" hidden="1">
      <c r="A357" s="140" t="s">
        <v>1</v>
      </c>
      <c r="B357" s="140"/>
      <c r="D357" s="140" t="s">
        <v>178</v>
      </c>
    </row>
    <row r="358" spans="1:4" ht="15" hidden="1">
      <c r="A358" s="140" t="s">
        <v>2</v>
      </c>
      <c r="B358" s="140"/>
      <c r="D358" s="140" t="s">
        <v>167</v>
      </c>
    </row>
    <row r="359" spans="1:4" ht="15" hidden="1">
      <c r="A359" s="140" t="s">
        <v>3</v>
      </c>
      <c r="B359" s="140"/>
      <c r="D359" s="140" t="s">
        <v>168</v>
      </c>
    </row>
    <row r="360" spans="1:4" ht="15" hidden="1">
      <c r="A360" s="140" t="s">
        <v>4</v>
      </c>
      <c r="B360" s="140"/>
      <c r="D360" s="140" t="s">
        <v>169</v>
      </c>
    </row>
    <row r="361" spans="1:4" ht="15" hidden="1">
      <c r="A361" s="140" t="s">
        <v>5</v>
      </c>
      <c r="B361" s="140"/>
      <c r="D361" s="140" t="s">
        <v>170</v>
      </c>
    </row>
    <row r="362" ht="15" hidden="1"/>
    <row r="363" spans="1:5" ht="15.75" hidden="1">
      <c r="A363" s="150"/>
      <c r="B363" s="150" t="s">
        <v>284</v>
      </c>
      <c r="C363" s="150"/>
      <c r="D363" s="150"/>
      <c r="E363" s="150"/>
    </row>
    <row r="364" spans="3:4" ht="15" hidden="1">
      <c r="C364" s="355">
        <v>41813</v>
      </c>
      <c r="D364" s="151"/>
    </row>
    <row r="365" ht="15" hidden="1">
      <c r="C365" s="156" t="s">
        <v>191</v>
      </c>
    </row>
    <row r="366" spans="1:2" ht="15" hidden="1">
      <c r="A366" s="2" t="s">
        <v>6</v>
      </c>
      <c r="B366" s="2"/>
    </row>
    <row r="367" spans="1:2" ht="15" hidden="1">
      <c r="A367" s="1" t="s">
        <v>195</v>
      </c>
      <c r="B367" s="1"/>
    </row>
    <row r="368" spans="1:2" ht="15" hidden="1">
      <c r="A368" s="1" t="s">
        <v>7</v>
      </c>
      <c r="B368" s="1"/>
    </row>
    <row r="369" spans="1:2" ht="15.75" hidden="1" thickBot="1">
      <c r="A369" s="358" t="s">
        <v>274</v>
      </c>
      <c r="B369" s="358"/>
    </row>
    <row r="370" spans="1:5" ht="15" hidden="1">
      <c r="A370" s="253" t="s">
        <v>8</v>
      </c>
      <c r="B370" s="254" t="s">
        <v>9</v>
      </c>
      <c r="C370" s="254" t="s">
        <v>10</v>
      </c>
      <c r="D370" s="254" t="s">
        <v>11</v>
      </c>
      <c r="E370" s="256" t="s">
        <v>12</v>
      </c>
    </row>
    <row r="371" spans="1:5" ht="15" hidden="1">
      <c r="A371" s="320" t="s">
        <v>251</v>
      </c>
      <c r="B371" s="487" t="s">
        <v>256</v>
      </c>
      <c r="C371" s="483"/>
      <c r="D371" s="483"/>
      <c r="E371" s="485"/>
    </row>
    <row r="372" spans="1:5" ht="15" hidden="1">
      <c r="A372" s="263" t="s">
        <v>15</v>
      </c>
      <c r="B372" s="26" t="s">
        <v>109</v>
      </c>
      <c r="C372" s="153" t="s">
        <v>110</v>
      </c>
      <c r="D372" s="307" t="s">
        <v>111</v>
      </c>
      <c r="E372" s="316">
        <v>0.54</v>
      </c>
    </row>
    <row r="373" spans="1:5" ht="15" hidden="1">
      <c r="A373" s="263" t="s">
        <v>21</v>
      </c>
      <c r="B373" s="73" t="s">
        <v>112</v>
      </c>
      <c r="C373" s="153" t="s">
        <v>110</v>
      </c>
      <c r="D373" s="307" t="s">
        <v>275</v>
      </c>
      <c r="E373" s="300">
        <f>13.28+6.78+0.36</f>
        <v>20.419999999999998</v>
      </c>
    </row>
    <row r="374" spans="1:5" ht="15" hidden="1">
      <c r="A374" s="317" t="s">
        <v>60</v>
      </c>
      <c r="B374" s="68" t="s">
        <v>113</v>
      </c>
      <c r="C374" s="13" t="s">
        <v>59</v>
      </c>
      <c r="D374" s="68"/>
      <c r="E374" s="265">
        <f>Lapas1!E1062</f>
        <v>25.202317337765958</v>
      </c>
    </row>
    <row r="375" spans="1:5" ht="15" hidden="1">
      <c r="A375" s="317" t="s">
        <v>72</v>
      </c>
      <c r="B375" s="68" t="s">
        <v>114</v>
      </c>
      <c r="C375" s="153" t="s">
        <v>110</v>
      </c>
      <c r="D375" s="153" t="s">
        <v>188</v>
      </c>
      <c r="E375" s="264">
        <v>6.58</v>
      </c>
    </row>
    <row r="376" spans="1:5" ht="15" hidden="1">
      <c r="A376" s="317" t="s">
        <v>115</v>
      </c>
      <c r="B376" s="68" t="s">
        <v>116</v>
      </c>
      <c r="C376" s="153" t="s">
        <v>110</v>
      </c>
      <c r="D376" s="153" t="s">
        <v>188</v>
      </c>
      <c r="E376" s="318">
        <v>11.21</v>
      </c>
    </row>
    <row r="377" spans="1:5" ht="15" hidden="1">
      <c r="A377" s="271" t="s">
        <v>84</v>
      </c>
      <c r="B377" s="308" t="s">
        <v>117</v>
      </c>
      <c r="C377" s="153" t="s">
        <v>110</v>
      </c>
      <c r="D377" s="307" t="s">
        <v>121</v>
      </c>
      <c r="E377" s="272">
        <f>E372+E373</f>
        <v>20.959999999999997</v>
      </c>
    </row>
    <row r="378" spans="1:5" ht="15" hidden="1">
      <c r="A378" s="271" t="s">
        <v>85</v>
      </c>
      <c r="B378" s="308" t="s">
        <v>118</v>
      </c>
      <c r="C378" s="153" t="s">
        <v>110</v>
      </c>
      <c r="D378" s="73"/>
      <c r="E378" s="265">
        <f>E377*1.09</f>
        <v>22.8464</v>
      </c>
    </row>
    <row r="379" spans="1:5" ht="15" hidden="1">
      <c r="A379" s="271" t="s">
        <v>87</v>
      </c>
      <c r="B379" s="308" t="s">
        <v>119</v>
      </c>
      <c r="C379" s="153" t="s">
        <v>110</v>
      </c>
      <c r="D379" s="73"/>
      <c r="E379" s="273">
        <f>E345</f>
        <v>22.31</v>
      </c>
    </row>
    <row r="380" spans="1:5" ht="15" hidden="1">
      <c r="A380" s="271" t="s">
        <v>89</v>
      </c>
      <c r="B380" s="309" t="s">
        <v>120</v>
      </c>
      <c r="C380" s="84" t="s">
        <v>95</v>
      </c>
      <c r="D380" s="73"/>
      <c r="E380" s="265">
        <f>(E377/E379)*100-100</f>
        <v>-6.0510981622590805</v>
      </c>
    </row>
    <row r="381" spans="1:5" ht="15" hidden="1">
      <c r="A381" s="319" t="s">
        <v>252</v>
      </c>
      <c r="B381" s="486" t="s">
        <v>249</v>
      </c>
      <c r="C381" s="479"/>
      <c r="D381" s="479"/>
      <c r="E381" s="481"/>
    </row>
    <row r="382" spans="1:5" ht="15" hidden="1">
      <c r="A382" s="263" t="s">
        <v>15</v>
      </c>
      <c r="B382" s="49" t="s">
        <v>109</v>
      </c>
      <c r="C382" s="304" t="s">
        <v>110</v>
      </c>
      <c r="D382" s="305" t="s">
        <v>111</v>
      </c>
      <c r="E382" s="306">
        <v>0.54</v>
      </c>
    </row>
    <row r="383" spans="1:5" ht="15" hidden="1">
      <c r="A383" s="259" t="s">
        <v>21</v>
      </c>
      <c r="B383" s="73" t="s">
        <v>112</v>
      </c>
      <c r="C383" s="69" t="s">
        <v>110</v>
      </c>
      <c r="D383" s="152" t="s">
        <v>276</v>
      </c>
      <c r="E383" s="300">
        <f>12.85+6.58+0.36</f>
        <v>19.79</v>
      </c>
    </row>
    <row r="384" spans="1:5" ht="15" hidden="1">
      <c r="A384" s="271" t="s">
        <v>60</v>
      </c>
      <c r="B384" s="80" t="s">
        <v>117</v>
      </c>
      <c r="C384" s="72" t="s">
        <v>110</v>
      </c>
      <c r="D384" s="152" t="s">
        <v>121</v>
      </c>
      <c r="E384" s="272">
        <f>E382+E383</f>
        <v>20.33</v>
      </c>
    </row>
    <row r="385" spans="1:5" ht="15.75" hidden="1" thickBot="1">
      <c r="A385" s="274" t="s">
        <v>72</v>
      </c>
      <c r="B385" s="301" t="s">
        <v>118</v>
      </c>
      <c r="C385" s="302" t="s">
        <v>110</v>
      </c>
      <c r="D385" s="277"/>
      <c r="E385" s="303">
        <f>E384*1.21</f>
        <v>24.599299999999996</v>
      </c>
    </row>
    <row r="386" ht="15" hidden="1"/>
    <row r="387" spans="2:4" ht="15" hidden="1">
      <c r="B387" t="s">
        <v>189</v>
      </c>
      <c r="C387" t="s">
        <v>193</v>
      </c>
      <c r="D387" s="155" t="s">
        <v>190</v>
      </c>
    </row>
    <row r="388" spans="1:5" ht="15" hidden="1">
      <c r="A388" s="140" t="s">
        <v>0</v>
      </c>
      <c r="B388" s="140"/>
      <c r="E388" s="140" t="s">
        <v>186</v>
      </c>
    </row>
    <row r="389" spans="1:4" ht="15" hidden="1">
      <c r="A389" s="140" t="s">
        <v>1</v>
      </c>
      <c r="B389" s="140"/>
      <c r="D389" s="140" t="s">
        <v>178</v>
      </c>
    </row>
    <row r="390" spans="1:4" ht="15" hidden="1">
      <c r="A390" s="140" t="s">
        <v>2</v>
      </c>
      <c r="B390" s="140"/>
      <c r="D390" s="140" t="s">
        <v>167</v>
      </c>
    </row>
    <row r="391" spans="1:4" ht="15" hidden="1">
      <c r="A391" s="140" t="s">
        <v>3</v>
      </c>
      <c r="B391" s="140"/>
      <c r="D391" s="140" t="s">
        <v>168</v>
      </c>
    </row>
    <row r="392" spans="1:4" ht="15" hidden="1">
      <c r="A392" s="140" t="s">
        <v>4</v>
      </c>
      <c r="B392" s="140"/>
      <c r="D392" s="140" t="s">
        <v>169</v>
      </c>
    </row>
    <row r="393" spans="1:4" ht="15" hidden="1">
      <c r="A393" s="140" t="s">
        <v>5</v>
      </c>
      <c r="B393" s="140"/>
      <c r="D393" s="140" t="s">
        <v>170</v>
      </c>
    </row>
    <row r="394" ht="15" hidden="1"/>
    <row r="395" spans="1:5" ht="15.75" hidden="1">
      <c r="A395" s="150"/>
      <c r="B395" s="150" t="s">
        <v>287</v>
      </c>
      <c r="C395" s="150"/>
      <c r="D395" s="150"/>
      <c r="E395" s="150"/>
    </row>
    <row r="396" spans="3:4" ht="15" hidden="1">
      <c r="C396" s="355">
        <v>41838</v>
      </c>
      <c r="D396" s="151"/>
    </row>
    <row r="397" ht="15" hidden="1">
      <c r="C397" s="156" t="s">
        <v>191</v>
      </c>
    </row>
    <row r="398" spans="1:2" ht="15" hidden="1">
      <c r="A398" s="2" t="s">
        <v>6</v>
      </c>
      <c r="B398" s="2"/>
    </row>
    <row r="399" spans="1:2" ht="15" hidden="1">
      <c r="A399" s="1" t="s">
        <v>195</v>
      </c>
      <c r="B399" s="1"/>
    </row>
    <row r="400" spans="1:2" ht="15" hidden="1">
      <c r="A400" s="1" t="s">
        <v>7</v>
      </c>
      <c r="B400" s="1"/>
    </row>
    <row r="401" spans="1:2" ht="15.75" hidden="1" thickBot="1">
      <c r="A401" s="358" t="s">
        <v>288</v>
      </c>
      <c r="B401" s="358"/>
    </row>
    <row r="402" spans="1:5" ht="15" hidden="1">
      <c r="A402" s="253" t="s">
        <v>8</v>
      </c>
      <c r="B402" s="254" t="s">
        <v>9</v>
      </c>
      <c r="C402" s="254" t="s">
        <v>10</v>
      </c>
      <c r="D402" s="254" t="s">
        <v>11</v>
      </c>
      <c r="E402" s="256" t="s">
        <v>12</v>
      </c>
    </row>
    <row r="403" spans="1:5" ht="15" hidden="1">
      <c r="A403" s="320" t="s">
        <v>251</v>
      </c>
      <c r="B403" s="487" t="s">
        <v>256</v>
      </c>
      <c r="C403" s="483"/>
      <c r="D403" s="483"/>
      <c r="E403" s="485"/>
    </row>
    <row r="404" spans="1:5" ht="15" hidden="1">
      <c r="A404" s="263" t="s">
        <v>15</v>
      </c>
      <c r="B404" s="26" t="s">
        <v>109</v>
      </c>
      <c r="C404" s="153" t="s">
        <v>110</v>
      </c>
      <c r="D404" s="307" t="s">
        <v>111</v>
      </c>
      <c r="E404" s="316">
        <v>0.54</v>
      </c>
    </row>
    <row r="405" spans="1:5" ht="15" hidden="1">
      <c r="A405" s="263" t="s">
        <v>21</v>
      </c>
      <c r="B405" s="73" t="s">
        <v>112</v>
      </c>
      <c r="C405" s="153" t="s">
        <v>110</v>
      </c>
      <c r="D405" s="307" t="s">
        <v>275</v>
      </c>
      <c r="E405" s="300">
        <f>13.26+10.03+0.42</f>
        <v>23.71</v>
      </c>
    </row>
    <row r="406" spans="1:5" ht="15" hidden="1">
      <c r="A406" s="317" t="s">
        <v>60</v>
      </c>
      <c r="B406" s="68" t="s">
        <v>113</v>
      </c>
      <c r="C406" s="13" t="s">
        <v>59</v>
      </c>
      <c r="D406" s="68"/>
      <c r="E406" s="265">
        <v>25.16</v>
      </c>
    </row>
    <row r="407" spans="1:5" ht="15" hidden="1">
      <c r="A407" s="317" t="s">
        <v>72</v>
      </c>
      <c r="B407" s="68" t="s">
        <v>114</v>
      </c>
      <c r="C407" s="153" t="s">
        <v>110</v>
      </c>
      <c r="D407" s="153" t="s">
        <v>188</v>
      </c>
      <c r="E407" s="264">
        <v>9.74</v>
      </c>
    </row>
    <row r="408" spans="1:5" ht="15" hidden="1">
      <c r="A408" s="317" t="s">
        <v>115</v>
      </c>
      <c r="B408" s="68" t="s">
        <v>116</v>
      </c>
      <c r="C408" s="153" t="s">
        <v>110</v>
      </c>
      <c r="D408" s="153" t="s">
        <v>188</v>
      </c>
      <c r="E408" s="318">
        <v>13.05</v>
      </c>
    </row>
    <row r="409" spans="1:5" ht="15" hidden="1">
      <c r="A409" s="271" t="s">
        <v>84</v>
      </c>
      <c r="B409" s="308" t="s">
        <v>117</v>
      </c>
      <c r="C409" s="153" t="s">
        <v>110</v>
      </c>
      <c r="D409" s="307" t="s">
        <v>121</v>
      </c>
      <c r="E409" s="272">
        <f>E404+E405</f>
        <v>24.25</v>
      </c>
    </row>
    <row r="410" spans="1:5" ht="15" hidden="1">
      <c r="A410" s="271" t="s">
        <v>85</v>
      </c>
      <c r="B410" s="308" t="s">
        <v>118</v>
      </c>
      <c r="C410" s="153" t="s">
        <v>110</v>
      </c>
      <c r="D410" s="73"/>
      <c r="E410" s="265">
        <f>E409*1.09</f>
        <v>26.4325</v>
      </c>
    </row>
    <row r="411" spans="1:5" ht="15" hidden="1">
      <c r="A411" s="271" t="s">
        <v>87</v>
      </c>
      <c r="B411" s="308" t="s">
        <v>119</v>
      </c>
      <c r="C411" s="153" t="s">
        <v>110</v>
      </c>
      <c r="D411" s="73"/>
      <c r="E411" s="273">
        <f>E377</f>
        <v>20.959999999999997</v>
      </c>
    </row>
    <row r="412" spans="1:5" ht="15" hidden="1">
      <c r="A412" s="271" t="s">
        <v>89</v>
      </c>
      <c r="B412" s="309" t="s">
        <v>120</v>
      </c>
      <c r="C412" s="84" t="s">
        <v>95</v>
      </c>
      <c r="D412" s="73"/>
      <c r="E412" s="265">
        <f>(E409/E411)*100-100</f>
        <v>15.696564885496201</v>
      </c>
    </row>
    <row r="413" spans="1:5" ht="15" hidden="1">
      <c r="A413" s="319" t="s">
        <v>252</v>
      </c>
      <c r="B413" s="486" t="s">
        <v>249</v>
      </c>
      <c r="C413" s="479"/>
      <c r="D413" s="479"/>
      <c r="E413" s="481"/>
    </row>
    <row r="414" spans="1:5" ht="15" hidden="1">
      <c r="A414" s="263" t="s">
        <v>15</v>
      </c>
      <c r="B414" s="49" t="s">
        <v>109</v>
      </c>
      <c r="C414" s="304" t="s">
        <v>110</v>
      </c>
      <c r="D414" s="305" t="s">
        <v>111</v>
      </c>
      <c r="E414" s="306">
        <v>0.54</v>
      </c>
    </row>
    <row r="415" spans="1:5" ht="15" hidden="1">
      <c r="A415" s="259" t="s">
        <v>21</v>
      </c>
      <c r="B415" s="73" t="s">
        <v>112</v>
      </c>
      <c r="C415" s="69" t="s">
        <v>110</v>
      </c>
      <c r="D415" s="152" t="s">
        <v>276</v>
      </c>
      <c r="E415" s="300">
        <f>12.83+9.74+0.42</f>
        <v>22.990000000000002</v>
      </c>
    </row>
    <row r="416" spans="1:5" ht="15" hidden="1">
      <c r="A416" s="271" t="s">
        <v>60</v>
      </c>
      <c r="B416" s="80" t="s">
        <v>117</v>
      </c>
      <c r="C416" s="72" t="s">
        <v>110</v>
      </c>
      <c r="D416" s="152" t="s">
        <v>121</v>
      </c>
      <c r="E416" s="272">
        <f>E414+E415</f>
        <v>23.53</v>
      </c>
    </row>
    <row r="417" spans="1:5" ht="15.75" hidden="1" thickBot="1">
      <c r="A417" s="274" t="s">
        <v>72</v>
      </c>
      <c r="B417" s="301" t="s">
        <v>118</v>
      </c>
      <c r="C417" s="302" t="s">
        <v>110</v>
      </c>
      <c r="D417" s="277"/>
      <c r="E417" s="303">
        <f>E416*1.21</f>
        <v>28.4713</v>
      </c>
    </row>
    <row r="418" ht="15" hidden="1"/>
    <row r="419" spans="2:4" ht="15" hidden="1">
      <c r="B419" t="s">
        <v>189</v>
      </c>
      <c r="C419" t="s">
        <v>193</v>
      </c>
      <c r="D419" s="155" t="s">
        <v>190</v>
      </c>
    </row>
    <row r="420" spans="1:5" ht="10.5" customHeight="1" hidden="1">
      <c r="A420" s="140" t="s">
        <v>0</v>
      </c>
      <c r="B420" s="140"/>
      <c r="E420" s="140" t="s">
        <v>186</v>
      </c>
    </row>
    <row r="421" spans="1:4" ht="10.5" customHeight="1" hidden="1">
      <c r="A421" s="140" t="s">
        <v>1</v>
      </c>
      <c r="B421" s="140"/>
      <c r="D421" s="140" t="s">
        <v>178</v>
      </c>
    </row>
    <row r="422" spans="1:4" ht="10.5" customHeight="1" hidden="1">
      <c r="A422" s="140" t="s">
        <v>2</v>
      </c>
      <c r="B422" s="140"/>
      <c r="D422" s="140" t="s">
        <v>167</v>
      </c>
    </row>
    <row r="423" spans="1:4" ht="10.5" customHeight="1" hidden="1">
      <c r="A423" s="140" t="s">
        <v>3</v>
      </c>
      <c r="B423" s="140"/>
      <c r="D423" s="140" t="s">
        <v>168</v>
      </c>
    </row>
    <row r="424" spans="1:4" ht="10.5" customHeight="1" hidden="1">
      <c r="A424" s="140" t="s">
        <v>4</v>
      </c>
      <c r="B424" s="140"/>
      <c r="D424" s="140" t="s">
        <v>169</v>
      </c>
    </row>
    <row r="425" spans="1:4" ht="10.5" customHeight="1" hidden="1">
      <c r="A425" s="140" t="s">
        <v>5</v>
      </c>
      <c r="B425" s="140"/>
      <c r="D425" s="140" t="s">
        <v>170</v>
      </c>
    </row>
    <row r="426" ht="12.75" customHeight="1" hidden="1"/>
    <row r="427" spans="1:5" ht="12.75" customHeight="1" hidden="1">
      <c r="A427" s="150"/>
      <c r="B427" s="150" t="s">
        <v>290</v>
      </c>
      <c r="C427" s="150"/>
      <c r="D427" s="150"/>
      <c r="E427" s="150"/>
    </row>
    <row r="428" spans="3:4" ht="10.5" customHeight="1" hidden="1">
      <c r="C428" s="355">
        <v>41872</v>
      </c>
      <c r="D428" s="151"/>
    </row>
    <row r="429" ht="10.5" customHeight="1" hidden="1">
      <c r="C429" s="156" t="s">
        <v>191</v>
      </c>
    </row>
    <row r="430" spans="1:2" ht="10.5" customHeight="1" hidden="1">
      <c r="A430" s="2" t="s">
        <v>6</v>
      </c>
      <c r="B430" s="2"/>
    </row>
    <row r="431" spans="1:2" ht="10.5" customHeight="1" hidden="1">
      <c r="A431" s="1" t="s">
        <v>195</v>
      </c>
      <c r="B431" s="1"/>
    </row>
    <row r="432" spans="1:2" ht="10.5" customHeight="1" hidden="1">
      <c r="A432" s="1" t="s">
        <v>7</v>
      </c>
      <c r="B432" s="1"/>
    </row>
    <row r="433" spans="1:2" ht="15.75" hidden="1" thickBot="1">
      <c r="A433" s="358" t="s">
        <v>288</v>
      </c>
      <c r="B433" s="358"/>
    </row>
    <row r="434" spans="1:5" ht="15" hidden="1">
      <c r="A434" s="253" t="s">
        <v>8</v>
      </c>
      <c r="B434" s="254" t="s">
        <v>9</v>
      </c>
      <c r="C434" s="254" t="s">
        <v>10</v>
      </c>
      <c r="D434" s="254" t="s">
        <v>11</v>
      </c>
      <c r="E434" s="256" t="s">
        <v>12</v>
      </c>
    </row>
    <row r="435" spans="1:5" ht="13.5" customHeight="1" hidden="1">
      <c r="A435" s="428" t="s">
        <v>251</v>
      </c>
      <c r="B435" s="482" t="s">
        <v>256</v>
      </c>
      <c r="C435" s="483"/>
      <c r="D435" s="484"/>
      <c r="E435" s="485"/>
    </row>
    <row r="436" spans="1:5" ht="12" customHeight="1" hidden="1">
      <c r="A436" s="472" t="s">
        <v>15</v>
      </c>
      <c r="B436" s="474" t="s">
        <v>109</v>
      </c>
      <c r="C436" s="439" t="s">
        <v>110</v>
      </c>
      <c r="D436" s="468" t="s">
        <v>111</v>
      </c>
      <c r="E436" s="441">
        <v>0.54</v>
      </c>
    </row>
    <row r="437" spans="1:5" ht="12" customHeight="1" hidden="1">
      <c r="A437" s="473"/>
      <c r="B437" s="475"/>
      <c r="C437" s="440" t="s">
        <v>293</v>
      </c>
      <c r="D437" s="469"/>
      <c r="E437" s="442">
        <f>E436/3.4528</f>
        <v>0.15639481000926786</v>
      </c>
    </row>
    <row r="438" spans="1:5" ht="12" customHeight="1" hidden="1">
      <c r="A438" s="472" t="s">
        <v>21</v>
      </c>
      <c r="B438" s="476" t="s">
        <v>112</v>
      </c>
      <c r="C438" s="439" t="s">
        <v>110</v>
      </c>
      <c r="D438" s="468" t="s">
        <v>275</v>
      </c>
      <c r="E438" s="443">
        <f>13.43+10.03+0.42</f>
        <v>23.880000000000003</v>
      </c>
    </row>
    <row r="439" spans="1:5" ht="12" customHeight="1" hidden="1">
      <c r="A439" s="473"/>
      <c r="B439" s="477"/>
      <c r="C439" s="440" t="s">
        <v>293</v>
      </c>
      <c r="D439" s="469"/>
      <c r="E439" s="433">
        <f>E438/3.4528</f>
        <v>6.916126042632068</v>
      </c>
    </row>
    <row r="440" spans="1:5" ht="12" customHeight="1" hidden="1">
      <c r="A440" s="429" t="s">
        <v>60</v>
      </c>
      <c r="B440" s="430" t="s">
        <v>113</v>
      </c>
      <c r="C440" s="13" t="s">
        <v>59</v>
      </c>
      <c r="D440" s="430"/>
      <c r="E440" s="265">
        <v>25.48</v>
      </c>
    </row>
    <row r="441" spans="1:5" ht="12" customHeight="1" hidden="1">
      <c r="A441" s="317" t="s">
        <v>72</v>
      </c>
      <c r="B441" s="68" t="s">
        <v>114</v>
      </c>
      <c r="C441" s="153" t="s">
        <v>110</v>
      </c>
      <c r="D441" s="153" t="s">
        <v>188</v>
      </c>
      <c r="E441" s="264">
        <v>9.74</v>
      </c>
    </row>
    <row r="442" spans="1:5" ht="12" customHeight="1" hidden="1">
      <c r="A442" s="435" t="s">
        <v>115</v>
      </c>
      <c r="B442" s="436" t="s">
        <v>116</v>
      </c>
      <c r="C442" s="153" t="s">
        <v>110</v>
      </c>
      <c r="D442" s="445" t="s">
        <v>188</v>
      </c>
      <c r="E442" s="318">
        <v>13.05</v>
      </c>
    </row>
    <row r="443" spans="1:6" ht="12" customHeight="1" hidden="1">
      <c r="A443" s="464" t="s">
        <v>84</v>
      </c>
      <c r="B443" s="466" t="s">
        <v>117</v>
      </c>
      <c r="C443" s="439" t="s">
        <v>110</v>
      </c>
      <c r="D443" s="468" t="s">
        <v>121</v>
      </c>
      <c r="E443" s="444">
        <f>E436+E438</f>
        <v>24.42</v>
      </c>
      <c r="F443" s="281">
        <f>E443/3.4528</f>
        <v>7.072520852641335</v>
      </c>
    </row>
    <row r="444" spans="1:6" ht="12" customHeight="1" hidden="1">
      <c r="A444" s="465"/>
      <c r="B444" s="467"/>
      <c r="C444" s="440" t="s">
        <v>293</v>
      </c>
      <c r="D444" s="469"/>
      <c r="E444" s="446">
        <f>E443/3.4528</f>
        <v>7.072520852641335</v>
      </c>
      <c r="F444" s="281"/>
    </row>
    <row r="445" spans="1:6" ht="12" customHeight="1" hidden="1">
      <c r="A445" s="464" t="s">
        <v>85</v>
      </c>
      <c r="B445" s="470" t="s">
        <v>118</v>
      </c>
      <c r="C445" s="439" t="s">
        <v>110</v>
      </c>
      <c r="D445" s="431"/>
      <c r="E445" s="447">
        <f>E443*1.09</f>
        <v>26.617800000000003</v>
      </c>
      <c r="F445" s="281">
        <f>E445/3.4528</f>
        <v>7.709047729379056</v>
      </c>
    </row>
    <row r="446" spans="1:6" ht="12" customHeight="1" hidden="1">
      <c r="A446" s="465"/>
      <c r="B446" s="471"/>
      <c r="C446" s="440" t="s">
        <v>293</v>
      </c>
      <c r="D446" s="432"/>
      <c r="E446" s="442">
        <f>E445/3.4528</f>
        <v>7.709047729379056</v>
      </c>
      <c r="F446" s="281"/>
    </row>
    <row r="447" spans="1:6" ht="12" customHeight="1" hidden="1">
      <c r="A447" s="437" t="s">
        <v>87</v>
      </c>
      <c r="B447" s="438" t="s">
        <v>119</v>
      </c>
      <c r="C447" s="153" t="s">
        <v>110</v>
      </c>
      <c r="D447" s="432"/>
      <c r="E447" s="273">
        <f>E409</f>
        <v>24.25</v>
      </c>
      <c r="F447" s="281">
        <f>E447/3.4528</f>
        <v>7.0232854494902694</v>
      </c>
    </row>
    <row r="448" spans="1:5" ht="12" customHeight="1" hidden="1">
      <c r="A448" s="271" t="s">
        <v>89</v>
      </c>
      <c r="B448" s="309" t="s">
        <v>120</v>
      </c>
      <c r="C448" s="84" t="s">
        <v>95</v>
      </c>
      <c r="D448" s="73"/>
      <c r="E448" s="265">
        <f>(E443/E447)*100-100</f>
        <v>0.7010309278350633</v>
      </c>
    </row>
    <row r="449" spans="1:5" ht="12" customHeight="1" hidden="1">
      <c r="A449" s="319" t="s">
        <v>252</v>
      </c>
      <c r="B449" s="478" t="s">
        <v>249</v>
      </c>
      <c r="C449" s="479"/>
      <c r="D449" s="480"/>
      <c r="E449" s="481"/>
    </row>
    <row r="450" spans="1:5" ht="12" customHeight="1" hidden="1">
      <c r="A450" s="472" t="s">
        <v>15</v>
      </c>
      <c r="B450" s="474" t="s">
        <v>109</v>
      </c>
      <c r="C450" s="304" t="s">
        <v>110</v>
      </c>
      <c r="D450" s="468" t="s">
        <v>111</v>
      </c>
      <c r="E450" s="449">
        <v>0.54</v>
      </c>
    </row>
    <row r="451" spans="1:5" ht="12" customHeight="1" hidden="1">
      <c r="A451" s="473"/>
      <c r="B451" s="475"/>
      <c r="C451" s="440" t="s">
        <v>293</v>
      </c>
      <c r="D451" s="469"/>
      <c r="E451" s="442">
        <f>E450/3.4528</f>
        <v>0.15639481000926786</v>
      </c>
    </row>
    <row r="452" spans="1:5" ht="12" customHeight="1" hidden="1">
      <c r="A452" s="472" t="s">
        <v>21</v>
      </c>
      <c r="B452" s="476" t="s">
        <v>112</v>
      </c>
      <c r="C452" s="69" t="s">
        <v>110</v>
      </c>
      <c r="D452" s="468" t="s">
        <v>276</v>
      </c>
      <c r="E452" s="443">
        <f>12.99+9.74+0.42</f>
        <v>23.150000000000002</v>
      </c>
    </row>
    <row r="453" spans="1:5" ht="12" customHeight="1" hidden="1">
      <c r="A453" s="473"/>
      <c r="B453" s="477"/>
      <c r="C453" s="440" t="s">
        <v>293</v>
      </c>
      <c r="D453" s="469"/>
      <c r="E453" s="442">
        <f>E452/3.4528</f>
        <v>6.70470342910102</v>
      </c>
    </row>
    <row r="454" spans="1:6" ht="12" customHeight="1" hidden="1">
      <c r="A454" s="464" t="s">
        <v>60</v>
      </c>
      <c r="B454" s="466" t="s">
        <v>117</v>
      </c>
      <c r="C454" s="448" t="s">
        <v>110</v>
      </c>
      <c r="D454" s="468" t="s">
        <v>121</v>
      </c>
      <c r="E454" s="444">
        <f>E450+E452</f>
        <v>23.69</v>
      </c>
      <c r="F454" s="281">
        <f>E454/3.4528</f>
        <v>6.861098239110288</v>
      </c>
    </row>
    <row r="455" spans="1:6" ht="12" customHeight="1" hidden="1">
      <c r="A455" s="465"/>
      <c r="B455" s="467"/>
      <c r="C455" s="440" t="s">
        <v>293</v>
      </c>
      <c r="D455" s="469"/>
      <c r="E455" s="442">
        <f>E454/3.4528</f>
        <v>6.861098239110288</v>
      </c>
      <c r="F455" s="281"/>
    </row>
    <row r="456" spans="1:6" ht="12.75" customHeight="1" hidden="1">
      <c r="A456" s="464" t="s">
        <v>72</v>
      </c>
      <c r="B456" s="470" t="s">
        <v>118</v>
      </c>
      <c r="C456" s="69" t="s">
        <v>110</v>
      </c>
      <c r="D456" s="450"/>
      <c r="E456" s="246">
        <f>E454*1.21</f>
        <v>28.6649</v>
      </c>
      <c r="F456" s="281">
        <f>E456/3.4528</f>
        <v>8.301928869323447</v>
      </c>
    </row>
    <row r="457" spans="1:6" ht="12.75" customHeight="1" hidden="1">
      <c r="A457" s="465"/>
      <c r="B457" s="471"/>
      <c r="C457" s="440" t="s">
        <v>293</v>
      </c>
      <c r="D457" s="432"/>
      <c r="E457" s="451">
        <f>E456/3.4528</f>
        <v>8.301928869323447</v>
      </c>
      <c r="F457" s="281"/>
    </row>
    <row r="458" ht="15" hidden="1"/>
    <row r="459" spans="2:4" ht="15" hidden="1">
      <c r="B459" t="s">
        <v>189</v>
      </c>
      <c r="C459" t="s">
        <v>193</v>
      </c>
      <c r="D459" s="155" t="s">
        <v>190</v>
      </c>
    </row>
    <row r="460" spans="1:5" ht="15" hidden="1">
      <c r="A460" s="140" t="s">
        <v>0</v>
      </c>
      <c r="B460" s="140"/>
      <c r="E460" s="140" t="s">
        <v>186</v>
      </c>
    </row>
    <row r="461" spans="1:4" ht="15" hidden="1">
      <c r="A461" s="140" t="s">
        <v>1</v>
      </c>
      <c r="B461" s="140"/>
      <c r="D461" s="140" t="s">
        <v>178</v>
      </c>
    </row>
    <row r="462" spans="1:4" ht="15" hidden="1">
      <c r="A462" s="140" t="s">
        <v>2</v>
      </c>
      <c r="B462" s="140"/>
      <c r="D462" s="140" t="s">
        <v>167</v>
      </c>
    </row>
    <row r="463" spans="1:4" ht="15" hidden="1">
      <c r="A463" s="140" t="s">
        <v>3</v>
      </c>
      <c r="B463" s="140"/>
      <c r="D463" s="140" t="s">
        <v>168</v>
      </c>
    </row>
    <row r="464" spans="1:4" ht="15" hidden="1">
      <c r="A464" s="140" t="s">
        <v>4</v>
      </c>
      <c r="B464" s="140"/>
      <c r="D464" s="140" t="s">
        <v>169</v>
      </c>
    </row>
    <row r="465" spans="1:4" ht="0.75" customHeight="1" hidden="1">
      <c r="A465" s="140" t="s">
        <v>5</v>
      </c>
      <c r="B465" s="140"/>
      <c r="D465" s="140" t="s">
        <v>170</v>
      </c>
    </row>
    <row r="466" spans="1:5" ht="15.75" hidden="1">
      <c r="A466" s="150"/>
      <c r="B466" s="150" t="s">
        <v>295</v>
      </c>
      <c r="C466" s="150"/>
      <c r="D466" s="150"/>
      <c r="E466" s="150"/>
    </row>
    <row r="467" spans="3:4" ht="11.25" customHeight="1" hidden="1">
      <c r="C467" s="355">
        <v>41812</v>
      </c>
      <c r="D467" s="151"/>
    </row>
    <row r="468" ht="11.25" customHeight="1" hidden="1">
      <c r="C468" s="156" t="s">
        <v>191</v>
      </c>
    </row>
    <row r="469" spans="1:2" ht="12" customHeight="1" hidden="1">
      <c r="A469" s="2" t="s">
        <v>6</v>
      </c>
      <c r="B469" s="2"/>
    </row>
    <row r="470" spans="1:2" ht="12" customHeight="1" hidden="1">
      <c r="A470" s="1" t="s">
        <v>195</v>
      </c>
      <c r="B470" s="1"/>
    </row>
    <row r="471" spans="1:2" ht="12" customHeight="1" hidden="1">
      <c r="A471" s="1" t="s">
        <v>7</v>
      </c>
      <c r="B471" s="1"/>
    </row>
    <row r="472" spans="1:2" ht="12" customHeight="1" hidden="1" thickBot="1">
      <c r="A472" s="358" t="s">
        <v>288</v>
      </c>
      <c r="B472" s="358"/>
    </row>
    <row r="473" spans="1:5" ht="15" hidden="1">
      <c r="A473" s="253" t="s">
        <v>8</v>
      </c>
      <c r="B473" s="254" t="s">
        <v>9</v>
      </c>
      <c r="C473" s="254" t="s">
        <v>10</v>
      </c>
      <c r="D473" s="254" t="s">
        <v>11</v>
      </c>
      <c r="E473" s="256" t="s">
        <v>12</v>
      </c>
    </row>
    <row r="474" spans="1:5" ht="15" hidden="1">
      <c r="A474" s="428" t="s">
        <v>251</v>
      </c>
      <c r="B474" s="482" t="s">
        <v>256</v>
      </c>
      <c r="C474" s="483"/>
      <c r="D474" s="484"/>
      <c r="E474" s="485"/>
    </row>
    <row r="475" spans="1:5" ht="12" customHeight="1" hidden="1">
      <c r="A475" s="472" t="s">
        <v>15</v>
      </c>
      <c r="B475" s="474" t="s">
        <v>109</v>
      </c>
      <c r="C475" s="439" t="s">
        <v>110</v>
      </c>
      <c r="D475" s="468" t="s">
        <v>111</v>
      </c>
      <c r="E475" s="441">
        <v>0.54</v>
      </c>
    </row>
    <row r="476" spans="1:5" ht="12" customHeight="1" hidden="1">
      <c r="A476" s="473"/>
      <c r="B476" s="475"/>
      <c r="C476" s="440" t="s">
        <v>293</v>
      </c>
      <c r="D476" s="469"/>
      <c r="E476" s="442">
        <f>E475/3.4528</f>
        <v>0.15639481000926786</v>
      </c>
    </row>
    <row r="477" spans="1:5" ht="12" customHeight="1" hidden="1">
      <c r="A477" s="472" t="s">
        <v>21</v>
      </c>
      <c r="B477" s="476" t="s">
        <v>112</v>
      </c>
      <c r="C477" s="439" t="s">
        <v>110</v>
      </c>
      <c r="D477" s="468" t="s">
        <v>275</v>
      </c>
      <c r="E477" s="443">
        <f>13.47+10.03+0.42</f>
        <v>23.92</v>
      </c>
    </row>
    <row r="478" spans="1:5" ht="12" customHeight="1" hidden="1">
      <c r="A478" s="473"/>
      <c r="B478" s="477"/>
      <c r="C478" s="440" t="s">
        <v>293</v>
      </c>
      <c r="D478" s="469"/>
      <c r="E478" s="433">
        <f>E477/3.4528</f>
        <v>6.927710843373495</v>
      </c>
    </row>
    <row r="479" spans="1:5" ht="15" hidden="1">
      <c r="A479" s="429" t="s">
        <v>60</v>
      </c>
      <c r="B479" s="430" t="s">
        <v>113</v>
      </c>
      <c r="C479" s="13" t="s">
        <v>59</v>
      </c>
      <c r="D479" s="430"/>
      <c r="E479" s="265">
        <v>25.57</v>
      </c>
    </row>
    <row r="480" spans="1:5" ht="15" hidden="1">
      <c r="A480" s="317" t="s">
        <v>72</v>
      </c>
      <c r="B480" s="68" t="s">
        <v>114</v>
      </c>
      <c r="C480" s="153" t="s">
        <v>110</v>
      </c>
      <c r="D480" s="153" t="s">
        <v>188</v>
      </c>
      <c r="E480" s="264">
        <v>9.74</v>
      </c>
    </row>
    <row r="481" spans="1:5" ht="15" hidden="1">
      <c r="A481" s="435" t="s">
        <v>115</v>
      </c>
      <c r="B481" s="436" t="s">
        <v>116</v>
      </c>
      <c r="C481" s="153" t="s">
        <v>110</v>
      </c>
      <c r="D481" s="445" t="s">
        <v>188</v>
      </c>
      <c r="E481" s="318">
        <v>13.05</v>
      </c>
    </row>
    <row r="482" spans="1:6" ht="12" customHeight="1" hidden="1">
      <c r="A482" s="464" t="s">
        <v>84</v>
      </c>
      <c r="B482" s="466" t="s">
        <v>117</v>
      </c>
      <c r="C482" s="439" t="s">
        <v>110</v>
      </c>
      <c r="D482" s="468" t="s">
        <v>121</v>
      </c>
      <c r="E482" s="444">
        <f>E475+E477</f>
        <v>24.46</v>
      </c>
      <c r="F482" s="281">
        <f>E482/3.4528</f>
        <v>7.084105653382762</v>
      </c>
    </row>
    <row r="483" spans="1:6" ht="12" customHeight="1" hidden="1">
      <c r="A483" s="465"/>
      <c r="B483" s="467"/>
      <c r="C483" s="440" t="s">
        <v>293</v>
      </c>
      <c r="D483" s="469"/>
      <c r="E483" s="446">
        <f>E482/3.4528</f>
        <v>7.084105653382762</v>
      </c>
      <c r="F483" s="281"/>
    </row>
    <row r="484" spans="1:6" ht="12" customHeight="1" hidden="1">
      <c r="A484" s="464" t="s">
        <v>85</v>
      </c>
      <c r="B484" s="470" t="s">
        <v>118</v>
      </c>
      <c r="C484" s="439" t="s">
        <v>110</v>
      </c>
      <c r="D484" s="431"/>
      <c r="E484" s="447">
        <f>E482*1.09</f>
        <v>26.661400000000004</v>
      </c>
      <c r="F484" s="281">
        <f>E484/3.4528</f>
        <v>7.7216751621872115</v>
      </c>
    </row>
    <row r="485" spans="1:6" ht="12" customHeight="1" hidden="1">
      <c r="A485" s="465"/>
      <c r="B485" s="471"/>
      <c r="C485" s="440" t="s">
        <v>293</v>
      </c>
      <c r="D485" s="432"/>
      <c r="E485" s="442">
        <f>E484/3.4528</f>
        <v>7.7216751621872115</v>
      </c>
      <c r="F485" s="281"/>
    </row>
    <row r="486" spans="1:6" ht="15" hidden="1">
      <c r="A486" s="437" t="s">
        <v>87</v>
      </c>
      <c r="B486" s="438" t="s">
        <v>119</v>
      </c>
      <c r="C486" s="153" t="s">
        <v>110</v>
      </c>
      <c r="D486" s="432"/>
      <c r="E486" s="273">
        <f>E443</f>
        <v>24.42</v>
      </c>
      <c r="F486" s="281">
        <f>E486/3.4528</f>
        <v>7.072520852641335</v>
      </c>
    </row>
    <row r="487" spans="1:5" ht="15" hidden="1">
      <c r="A487" s="271" t="s">
        <v>89</v>
      </c>
      <c r="B487" s="309" t="s">
        <v>120</v>
      </c>
      <c r="C487" s="84" t="s">
        <v>95</v>
      </c>
      <c r="D487" s="73"/>
      <c r="E487" s="265">
        <f>(E482/E486)*100-100</f>
        <v>0.16380016380014695</v>
      </c>
    </row>
    <row r="488" spans="1:5" ht="15" hidden="1">
      <c r="A488" s="319" t="s">
        <v>252</v>
      </c>
      <c r="B488" s="478" t="s">
        <v>249</v>
      </c>
      <c r="C488" s="479"/>
      <c r="D488" s="480"/>
      <c r="E488" s="481"/>
    </row>
    <row r="489" spans="1:5" ht="11.25" customHeight="1" hidden="1">
      <c r="A489" s="472" t="s">
        <v>15</v>
      </c>
      <c r="B489" s="474" t="s">
        <v>109</v>
      </c>
      <c r="C489" s="304" t="s">
        <v>110</v>
      </c>
      <c r="D489" s="468" t="s">
        <v>111</v>
      </c>
      <c r="E489" s="449">
        <v>0.54</v>
      </c>
    </row>
    <row r="490" spans="1:5" ht="11.25" customHeight="1" hidden="1">
      <c r="A490" s="473"/>
      <c r="B490" s="475"/>
      <c r="C490" s="440" t="s">
        <v>293</v>
      </c>
      <c r="D490" s="469"/>
      <c r="E490" s="442">
        <f>E489/3.4528</f>
        <v>0.15639481000926786</v>
      </c>
    </row>
    <row r="491" spans="1:5" ht="11.25" customHeight="1" hidden="1">
      <c r="A491" s="472" t="s">
        <v>21</v>
      </c>
      <c r="B491" s="476" t="s">
        <v>112</v>
      </c>
      <c r="C491" s="69" t="s">
        <v>110</v>
      </c>
      <c r="D491" s="468" t="s">
        <v>276</v>
      </c>
      <c r="E491" s="443">
        <f>13.04+9.74+0.42</f>
        <v>23.200000000000003</v>
      </c>
    </row>
    <row r="492" spans="1:5" ht="11.25" customHeight="1" hidden="1">
      <c r="A492" s="473"/>
      <c r="B492" s="477"/>
      <c r="C492" s="440" t="s">
        <v>293</v>
      </c>
      <c r="D492" s="469"/>
      <c r="E492" s="442">
        <f>E491/3.4528</f>
        <v>6.719184430027805</v>
      </c>
    </row>
    <row r="493" spans="1:6" ht="11.25" customHeight="1" hidden="1">
      <c r="A493" s="464" t="s">
        <v>60</v>
      </c>
      <c r="B493" s="466" t="s">
        <v>117</v>
      </c>
      <c r="C493" s="448" t="s">
        <v>110</v>
      </c>
      <c r="D493" s="468" t="s">
        <v>121</v>
      </c>
      <c r="E493" s="444">
        <f>E489+E491</f>
        <v>23.740000000000002</v>
      </c>
      <c r="F493" s="281">
        <f>E493/3.4528</f>
        <v>6.875579240037072</v>
      </c>
    </row>
    <row r="494" spans="1:6" ht="11.25" customHeight="1" hidden="1">
      <c r="A494" s="465"/>
      <c r="B494" s="467"/>
      <c r="C494" s="440" t="s">
        <v>293</v>
      </c>
      <c r="D494" s="469"/>
      <c r="E494" s="442">
        <f>E493/3.4528</f>
        <v>6.875579240037072</v>
      </c>
      <c r="F494" s="281"/>
    </row>
    <row r="495" spans="1:6" ht="11.25" customHeight="1" hidden="1">
      <c r="A495" s="464" t="s">
        <v>72</v>
      </c>
      <c r="B495" s="470" t="s">
        <v>118</v>
      </c>
      <c r="C495" s="69" t="s">
        <v>110</v>
      </c>
      <c r="D495" s="450"/>
      <c r="E495" s="246">
        <f>E493*1.21</f>
        <v>28.7254</v>
      </c>
      <c r="F495" s="281">
        <f>E495/3.4528</f>
        <v>8.319450880444856</v>
      </c>
    </row>
    <row r="496" spans="1:6" ht="11.25" customHeight="1" hidden="1">
      <c r="A496" s="465"/>
      <c r="B496" s="471"/>
      <c r="C496" s="440" t="s">
        <v>293</v>
      </c>
      <c r="D496" s="432"/>
      <c r="E496" s="451">
        <f>E495/3.4528</f>
        <v>8.319450880444856</v>
      </c>
      <c r="F496" s="281"/>
    </row>
    <row r="497" spans="2:4" ht="15" hidden="1">
      <c r="B497" t="s">
        <v>189</v>
      </c>
      <c r="C497" t="s">
        <v>193</v>
      </c>
      <c r="D497" s="155" t="s">
        <v>190</v>
      </c>
    </row>
    <row r="498" spans="1:5" ht="12" customHeight="1" hidden="1">
      <c r="A498" s="140" t="s">
        <v>0</v>
      </c>
      <c r="B498" s="140"/>
      <c r="E498" s="140" t="s">
        <v>186</v>
      </c>
    </row>
    <row r="499" spans="1:4" ht="12" customHeight="1" hidden="1">
      <c r="A499" s="140" t="s">
        <v>1</v>
      </c>
      <c r="B499" s="140"/>
      <c r="D499" s="140" t="s">
        <v>178</v>
      </c>
    </row>
    <row r="500" spans="1:4" ht="12" customHeight="1" hidden="1">
      <c r="A500" s="140" t="s">
        <v>2</v>
      </c>
      <c r="B500" s="140"/>
      <c r="D500" s="140" t="s">
        <v>298</v>
      </c>
    </row>
    <row r="501" spans="1:4" ht="12" customHeight="1" hidden="1">
      <c r="A501" s="140" t="s">
        <v>3</v>
      </c>
      <c r="B501" s="140"/>
      <c r="D501" s="140" t="s">
        <v>168</v>
      </c>
    </row>
    <row r="502" spans="1:4" ht="12" customHeight="1" hidden="1">
      <c r="A502" s="140" t="s">
        <v>4</v>
      </c>
      <c r="B502" s="140"/>
      <c r="D502" s="140" t="s">
        <v>169</v>
      </c>
    </row>
    <row r="503" spans="1:4" ht="12" customHeight="1" hidden="1">
      <c r="A503" s="140" t="s">
        <v>5</v>
      </c>
      <c r="B503" s="140"/>
      <c r="D503" s="140" t="s">
        <v>301</v>
      </c>
    </row>
    <row r="504" spans="1:5" ht="12" customHeight="1" hidden="1">
      <c r="A504" s="150"/>
      <c r="B504" s="150" t="s">
        <v>302</v>
      </c>
      <c r="C504" s="150"/>
      <c r="D504" s="150"/>
      <c r="E504" s="150"/>
    </row>
    <row r="505" spans="3:4" ht="12" customHeight="1" hidden="1">
      <c r="C505" s="355">
        <v>41934</v>
      </c>
      <c r="D505" s="151"/>
    </row>
    <row r="506" ht="12" customHeight="1" hidden="1">
      <c r="C506" s="156" t="s">
        <v>191</v>
      </c>
    </row>
    <row r="507" spans="1:2" ht="12" customHeight="1" hidden="1">
      <c r="A507" s="2" t="s">
        <v>6</v>
      </c>
      <c r="B507" s="2"/>
    </row>
    <row r="508" spans="1:2" ht="12" customHeight="1" hidden="1">
      <c r="A508" s="1" t="s">
        <v>195</v>
      </c>
      <c r="B508" s="1"/>
    </row>
    <row r="509" spans="1:2" ht="12" customHeight="1" hidden="1">
      <c r="A509" s="1" t="s">
        <v>7</v>
      </c>
      <c r="B509" s="1"/>
    </row>
    <row r="510" spans="1:2" ht="12" customHeight="1" hidden="1" thickBot="1">
      <c r="A510" s="358" t="s">
        <v>288</v>
      </c>
      <c r="B510" s="358"/>
    </row>
    <row r="511" spans="1:5" ht="15" hidden="1">
      <c r="A511" s="253" t="s">
        <v>8</v>
      </c>
      <c r="B511" s="254" t="s">
        <v>9</v>
      </c>
      <c r="C511" s="254" t="s">
        <v>10</v>
      </c>
      <c r="D511" s="254" t="s">
        <v>11</v>
      </c>
      <c r="E511" s="256" t="s">
        <v>12</v>
      </c>
    </row>
    <row r="512" spans="1:5" ht="15" hidden="1">
      <c r="A512" s="428" t="s">
        <v>251</v>
      </c>
      <c r="B512" s="482" t="s">
        <v>256</v>
      </c>
      <c r="C512" s="483"/>
      <c r="D512" s="484"/>
      <c r="E512" s="485"/>
    </row>
    <row r="513" spans="1:5" ht="15" hidden="1">
      <c r="A513" s="472" t="s">
        <v>15</v>
      </c>
      <c r="B513" s="474" t="s">
        <v>109</v>
      </c>
      <c r="C513" s="439" t="s">
        <v>110</v>
      </c>
      <c r="D513" s="468" t="s">
        <v>111</v>
      </c>
      <c r="E513" s="441">
        <v>0.54</v>
      </c>
    </row>
    <row r="514" spans="1:5" ht="12" customHeight="1" hidden="1">
      <c r="A514" s="473"/>
      <c r="B514" s="475"/>
      <c r="C514" s="440" t="s">
        <v>293</v>
      </c>
      <c r="D514" s="469"/>
      <c r="E514" s="442">
        <f>E513/3.4528</f>
        <v>0.15639481000926786</v>
      </c>
    </row>
    <row r="515" spans="1:5" ht="12" customHeight="1" hidden="1">
      <c r="A515" s="472" t="s">
        <v>21</v>
      </c>
      <c r="B515" s="476" t="s">
        <v>112</v>
      </c>
      <c r="C515" s="439" t="s">
        <v>110</v>
      </c>
      <c r="D515" s="468" t="s">
        <v>275</v>
      </c>
      <c r="E515" s="443">
        <v>24.22</v>
      </c>
    </row>
    <row r="516" spans="1:5" ht="12" customHeight="1" hidden="1">
      <c r="A516" s="473"/>
      <c r="B516" s="477"/>
      <c r="C516" s="440" t="s">
        <v>293</v>
      </c>
      <c r="D516" s="469"/>
      <c r="E516" s="433">
        <f>E515/3.4528</f>
        <v>7.0145968489341985</v>
      </c>
    </row>
    <row r="517" spans="1:5" ht="12" customHeight="1" hidden="1">
      <c r="A517" s="429" t="s">
        <v>60</v>
      </c>
      <c r="B517" s="430" t="s">
        <v>113</v>
      </c>
      <c r="C517" s="13" t="s">
        <v>59</v>
      </c>
      <c r="D517" s="430"/>
      <c r="E517" s="265">
        <v>26.13</v>
      </c>
    </row>
    <row r="518" spans="1:5" ht="12" customHeight="1" hidden="1">
      <c r="A518" s="317" t="s">
        <v>72</v>
      </c>
      <c r="B518" s="68" t="s">
        <v>114</v>
      </c>
      <c r="C518" s="153" t="s">
        <v>110</v>
      </c>
      <c r="D518" s="153" t="s">
        <v>188</v>
      </c>
      <c r="E518" s="264">
        <v>9.74</v>
      </c>
    </row>
    <row r="519" spans="1:5" ht="12" customHeight="1" hidden="1">
      <c r="A519" s="435" t="s">
        <v>115</v>
      </c>
      <c r="B519" s="436" t="s">
        <v>116</v>
      </c>
      <c r="C519" s="153" t="s">
        <v>110</v>
      </c>
      <c r="D519" s="445" t="s">
        <v>188</v>
      </c>
      <c r="E519" s="318">
        <v>13.05</v>
      </c>
    </row>
    <row r="520" spans="1:5" ht="12.75" customHeight="1" hidden="1">
      <c r="A520" s="464" t="s">
        <v>84</v>
      </c>
      <c r="B520" s="466" t="s">
        <v>117</v>
      </c>
      <c r="C520" s="439" t="s">
        <v>110</v>
      </c>
      <c r="D520" s="468" t="s">
        <v>121</v>
      </c>
      <c r="E520" s="444">
        <f>E513+E515</f>
        <v>24.759999999999998</v>
      </c>
    </row>
    <row r="521" spans="1:5" ht="12.75" customHeight="1" hidden="1">
      <c r="A521" s="465"/>
      <c r="B521" s="467"/>
      <c r="C521" s="440" t="s">
        <v>293</v>
      </c>
      <c r="D521" s="469"/>
      <c r="E521" s="446">
        <f>E520/3.4528</f>
        <v>7.170991658943466</v>
      </c>
    </row>
    <row r="522" spans="1:5" ht="12.75" customHeight="1" hidden="1">
      <c r="A522" s="464" t="s">
        <v>85</v>
      </c>
      <c r="B522" s="470" t="s">
        <v>118</v>
      </c>
      <c r="C522" s="439" t="s">
        <v>110</v>
      </c>
      <c r="D522" s="431"/>
      <c r="E522" s="447">
        <f>E520*1.09</f>
        <v>26.9884</v>
      </c>
    </row>
    <row r="523" spans="1:5" ht="12.75" customHeight="1" hidden="1">
      <c r="A523" s="465"/>
      <c r="B523" s="471"/>
      <c r="C523" s="440" t="s">
        <v>293</v>
      </c>
      <c r="D523" s="432"/>
      <c r="E523" s="442">
        <f>E522/3.4528</f>
        <v>7.816380908248378</v>
      </c>
    </row>
    <row r="524" spans="1:5" ht="15" hidden="1">
      <c r="A524" s="437" t="s">
        <v>87</v>
      </c>
      <c r="B524" s="438" t="s">
        <v>119</v>
      </c>
      <c r="C524" s="153" t="s">
        <v>110</v>
      </c>
      <c r="D524" s="432"/>
      <c r="E524" s="273">
        <v>24.46</v>
      </c>
    </row>
    <row r="525" spans="1:5" ht="15" hidden="1">
      <c r="A525" s="271" t="s">
        <v>89</v>
      </c>
      <c r="B525" s="309" t="s">
        <v>120</v>
      </c>
      <c r="C525" s="84" t="s">
        <v>95</v>
      </c>
      <c r="D525" s="73"/>
      <c r="E525" s="265">
        <f>(E520/E524)*100-100</f>
        <v>1.226492232215847</v>
      </c>
    </row>
    <row r="526" spans="1:5" ht="15" hidden="1">
      <c r="A526" s="319" t="s">
        <v>252</v>
      </c>
      <c r="B526" s="478" t="s">
        <v>249</v>
      </c>
      <c r="C526" s="479"/>
      <c r="D526" s="480"/>
      <c r="E526" s="481"/>
    </row>
    <row r="527" spans="1:5" ht="11.25" customHeight="1" hidden="1">
      <c r="A527" s="472" t="s">
        <v>15</v>
      </c>
      <c r="B527" s="474" t="s">
        <v>109</v>
      </c>
      <c r="C527" s="304" t="s">
        <v>110</v>
      </c>
      <c r="D527" s="468" t="s">
        <v>111</v>
      </c>
      <c r="E527" s="449">
        <v>0.54</v>
      </c>
    </row>
    <row r="528" spans="1:5" ht="11.25" customHeight="1" hidden="1">
      <c r="A528" s="473"/>
      <c r="B528" s="475"/>
      <c r="C528" s="440" t="s">
        <v>293</v>
      </c>
      <c r="D528" s="469"/>
      <c r="E528" s="442">
        <f>E527/3.4528</f>
        <v>0.15639481000926786</v>
      </c>
    </row>
    <row r="529" spans="1:5" ht="11.25" customHeight="1" hidden="1">
      <c r="A529" s="472" t="s">
        <v>21</v>
      </c>
      <c r="B529" s="476" t="s">
        <v>112</v>
      </c>
      <c r="C529" s="69" t="s">
        <v>110</v>
      </c>
      <c r="D529" s="468" t="s">
        <v>276</v>
      </c>
      <c r="E529" s="443">
        <v>23.49</v>
      </c>
    </row>
    <row r="530" spans="1:5" ht="11.25" customHeight="1" hidden="1">
      <c r="A530" s="473"/>
      <c r="B530" s="477"/>
      <c r="C530" s="440" t="s">
        <v>293</v>
      </c>
      <c r="D530" s="469"/>
      <c r="E530" s="442">
        <f>E529/3.4528</f>
        <v>6.803174235403151</v>
      </c>
    </row>
    <row r="531" spans="1:5" ht="11.25" customHeight="1" hidden="1">
      <c r="A531" s="464" t="s">
        <v>60</v>
      </c>
      <c r="B531" s="466" t="s">
        <v>117</v>
      </c>
      <c r="C531" s="448" t="s">
        <v>110</v>
      </c>
      <c r="D531" s="468" t="s">
        <v>121</v>
      </c>
      <c r="E531" s="444">
        <f>E527+E529</f>
        <v>24.029999999999998</v>
      </c>
    </row>
    <row r="532" spans="1:5" ht="11.25" customHeight="1" hidden="1">
      <c r="A532" s="465"/>
      <c r="B532" s="467"/>
      <c r="C532" s="440" t="s">
        <v>293</v>
      </c>
      <c r="D532" s="469"/>
      <c r="E532" s="442">
        <f>E531/3.4528</f>
        <v>6.959569045412419</v>
      </c>
    </row>
    <row r="533" spans="1:5" ht="11.25" customHeight="1" hidden="1">
      <c r="A533" s="464" t="s">
        <v>72</v>
      </c>
      <c r="B533" s="470" t="s">
        <v>118</v>
      </c>
      <c r="C533" s="69" t="s">
        <v>110</v>
      </c>
      <c r="D533" s="450"/>
      <c r="E533" s="246">
        <f>E531*1.21</f>
        <v>29.076299999999996</v>
      </c>
    </row>
    <row r="534" spans="1:5" ht="11.25" customHeight="1" hidden="1">
      <c r="A534" s="465"/>
      <c r="B534" s="471"/>
      <c r="C534" s="440" t="s">
        <v>293</v>
      </c>
      <c r="D534" s="432"/>
      <c r="E534" s="451">
        <f>E533/3.4528</f>
        <v>8.421078544949026</v>
      </c>
    </row>
    <row r="535" spans="2:4" ht="15" hidden="1">
      <c r="B535" t="s">
        <v>189</v>
      </c>
      <c r="C535" t="s">
        <v>193</v>
      </c>
      <c r="D535" s="155" t="s">
        <v>190</v>
      </c>
    </row>
    <row r="536" spans="1:5" ht="12" customHeight="1">
      <c r="A536" s="140" t="s">
        <v>0</v>
      </c>
      <c r="B536" s="140"/>
      <c r="E536" s="140" t="s">
        <v>186</v>
      </c>
    </row>
    <row r="537" spans="1:4" ht="12" customHeight="1">
      <c r="A537" s="140" t="s">
        <v>1</v>
      </c>
      <c r="B537" s="140"/>
      <c r="D537" s="140" t="s">
        <v>178</v>
      </c>
    </row>
    <row r="538" spans="1:4" ht="12" customHeight="1">
      <c r="A538" s="140" t="s">
        <v>2</v>
      </c>
      <c r="B538" s="140"/>
      <c r="D538" s="140"/>
    </row>
    <row r="539" spans="1:4" ht="12" customHeight="1">
      <c r="A539" s="140" t="s">
        <v>3</v>
      </c>
      <c r="B539" s="140"/>
      <c r="D539" s="140" t="s">
        <v>168</v>
      </c>
    </row>
    <row r="540" spans="1:4" ht="12" customHeight="1">
      <c r="A540" s="140" t="s">
        <v>4</v>
      </c>
      <c r="B540" s="140"/>
      <c r="D540" s="140" t="s">
        <v>169</v>
      </c>
    </row>
    <row r="541" spans="1:4" ht="12" customHeight="1">
      <c r="A541" s="140" t="s">
        <v>5</v>
      </c>
      <c r="B541" s="140"/>
      <c r="D541" s="140" t="s">
        <v>301</v>
      </c>
    </row>
    <row r="542" spans="1:5" ht="13.5" customHeight="1">
      <c r="A542" s="150"/>
      <c r="B542" s="150" t="s">
        <v>304</v>
      </c>
      <c r="C542" s="150"/>
      <c r="D542" s="150"/>
      <c r="E542" s="150"/>
    </row>
    <row r="543" spans="3:4" ht="10.5" customHeight="1">
      <c r="C543" s="355" t="s">
        <v>305</v>
      </c>
      <c r="D543" s="151"/>
    </row>
    <row r="544" ht="10.5" customHeight="1">
      <c r="C544" s="156" t="s">
        <v>191</v>
      </c>
    </row>
    <row r="545" spans="1:2" ht="12.75" customHeight="1">
      <c r="A545" s="2" t="s">
        <v>6</v>
      </c>
      <c r="B545" s="2"/>
    </row>
    <row r="546" spans="1:2" ht="12.75" customHeight="1">
      <c r="A546" s="1" t="s">
        <v>195</v>
      </c>
      <c r="B546" s="1"/>
    </row>
    <row r="547" spans="1:2" ht="12.75" customHeight="1">
      <c r="A547" s="1" t="s">
        <v>7</v>
      </c>
      <c r="B547" s="1"/>
    </row>
    <row r="548" spans="1:2" ht="12.75" customHeight="1" thickBot="1">
      <c r="A548" s="358" t="s">
        <v>288</v>
      </c>
      <c r="B548" s="358"/>
    </row>
    <row r="549" spans="1:5" ht="15">
      <c r="A549" s="253" t="s">
        <v>8</v>
      </c>
      <c r="B549" s="254" t="s">
        <v>9</v>
      </c>
      <c r="C549" s="254" t="s">
        <v>10</v>
      </c>
      <c r="D549" s="254" t="s">
        <v>11</v>
      </c>
      <c r="E549" s="256" t="s">
        <v>12</v>
      </c>
    </row>
    <row r="550" spans="1:5" ht="15">
      <c r="A550" s="428" t="s">
        <v>251</v>
      </c>
      <c r="B550" s="482" t="s">
        <v>256</v>
      </c>
      <c r="C550" s="483"/>
      <c r="D550" s="484"/>
      <c r="E550" s="485"/>
    </row>
    <row r="551" spans="1:5" ht="12" customHeight="1">
      <c r="A551" s="472" t="s">
        <v>15</v>
      </c>
      <c r="B551" s="474" t="s">
        <v>109</v>
      </c>
      <c r="C551" s="439" t="s">
        <v>110</v>
      </c>
      <c r="D551" s="468" t="s">
        <v>111</v>
      </c>
      <c r="E551" s="441">
        <v>0.54</v>
      </c>
    </row>
    <row r="552" spans="1:5" ht="12" customHeight="1">
      <c r="A552" s="473"/>
      <c r="B552" s="475"/>
      <c r="C552" s="440" t="s">
        <v>293</v>
      </c>
      <c r="D552" s="469"/>
      <c r="E552" s="442">
        <f>E551/3.4528</f>
        <v>0.15639481000926786</v>
      </c>
    </row>
    <row r="553" spans="1:5" ht="12" customHeight="1">
      <c r="A553" s="472" t="s">
        <v>21</v>
      </c>
      <c r="B553" s="476" t="s">
        <v>112</v>
      </c>
      <c r="C553" s="439" t="s">
        <v>110</v>
      </c>
      <c r="D553" s="468" t="s">
        <v>275</v>
      </c>
      <c r="E553" s="443">
        <v>24.09</v>
      </c>
    </row>
    <row r="554" spans="1:5" ht="12" customHeight="1">
      <c r="A554" s="473"/>
      <c r="B554" s="477"/>
      <c r="C554" s="440" t="s">
        <v>293</v>
      </c>
      <c r="D554" s="469"/>
      <c r="E554" s="433">
        <f>E553/3.4528</f>
        <v>6.97694624652456</v>
      </c>
    </row>
    <row r="555" spans="1:5" ht="15">
      <c r="A555" s="429" t="s">
        <v>60</v>
      </c>
      <c r="B555" s="430" t="s">
        <v>113</v>
      </c>
      <c r="C555" s="13" t="s">
        <v>59</v>
      </c>
      <c r="D555" s="430"/>
      <c r="E555" s="265">
        <v>25.88</v>
      </c>
    </row>
    <row r="556" spans="1:5" ht="15">
      <c r="A556" s="317" t="s">
        <v>72</v>
      </c>
      <c r="B556" s="68" t="s">
        <v>114</v>
      </c>
      <c r="C556" s="153" t="s">
        <v>110</v>
      </c>
      <c r="D556" s="153" t="s">
        <v>188</v>
      </c>
      <c r="E556" s="264">
        <v>9.74</v>
      </c>
    </row>
    <row r="557" spans="1:5" ht="15">
      <c r="A557" s="435" t="s">
        <v>115</v>
      </c>
      <c r="B557" s="436" t="s">
        <v>116</v>
      </c>
      <c r="C557" s="153" t="s">
        <v>110</v>
      </c>
      <c r="D557" s="445" t="s">
        <v>188</v>
      </c>
      <c r="E557" s="318">
        <v>13.05</v>
      </c>
    </row>
    <row r="558" spans="1:5" ht="12" customHeight="1">
      <c r="A558" s="464" t="s">
        <v>84</v>
      </c>
      <c r="B558" s="466" t="s">
        <v>117</v>
      </c>
      <c r="C558" s="439" t="s">
        <v>110</v>
      </c>
      <c r="D558" s="468" t="s">
        <v>121</v>
      </c>
      <c r="E558" s="444">
        <f>E551+E553</f>
        <v>24.63</v>
      </c>
    </row>
    <row r="559" spans="1:5" ht="12" customHeight="1">
      <c r="A559" s="465"/>
      <c r="B559" s="467"/>
      <c r="C559" s="440" t="s">
        <v>293</v>
      </c>
      <c r="D559" s="469"/>
      <c r="E559" s="446">
        <f>E558/3.4528</f>
        <v>7.133341056533828</v>
      </c>
    </row>
    <row r="560" spans="1:5" ht="12" customHeight="1">
      <c r="A560" s="464" t="s">
        <v>85</v>
      </c>
      <c r="B560" s="470" t="s">
        <v>118</v>
      </c>
      <c r="C560" s="439" t="s">
        <v>110</v>
      </c>
      <c r="D560" s="431"/>
      <c r="E560" s="447">
        <f>E558*1.09</f>
        <v>26.846700000000002</v>
      </c>
    </row>
    <row r="561" spans="1:5" ht="12" customHeight="1">
      <c r="A561" s="465"/>
      <c r="B561" s="471"/>
      <c r="C561" s="440" t="s">
        <v>293</v>
      </c>
      <c r="D561" s="432"/>
      <c r="E561" s="442">
        <f>E560/3.4528</f>
        <v>7.775341751621873</v>
      </c>
    </row>
    <row r="562" spans="1:5" ht="15">
      <c r="A562" s="437" t="s">
        <v>87</v>
      </c>
      <c r="B562" s="438" t="s">
        <v>119</v>
      </c>
      <c r="C562" s="153" t="s">
        <v>110</v>
      </c>
      <c r="D562" s="432"/>
      <c r="E562" s="273">
        <v>24.46</v>
      </c>
    </row>
    <row r="563" spans="1:5" ht="15">
      <c r="A563" s="271" t="s">
        <v>89</v>
      </c>
      <c r="B563" s="309" t="s">
        <v>120</v>
      </c>
      <c r="C563" s="84" t="s">
        <v>95</v>
      </c>
      <c r="D563" s="73"/>
      <c r="E563" s="265">
        <f>(E558/E562)*100-100</f>
        <v>0.695012264922326</v>
      </c>
    </row>
    <row r="564" spans="1:5" ht="15">
      <c r="A564" s="319" t="s">
        <v>252</v>
      </c>
      <c r="B564" s="478" t="s">
        <v>249</v>
      </c>
      <c r="C564" s="479"/>
      <c r="D564" s="480"/>
      <c r="E564" s="481"/>
    </row>
    <row r="565" spans="1:5" ht="12" customHeight="1">
      <c r="A565" s="472" t="s">
        <v>15</v>
      </c>
      <c r="B565" s="474" t="s">
        <v>109</v>
      </c>
      <c r="C565" s="304" t="s">
        <v>110</v>
      </c>
      <c r="D565" s="468" t="s">
        <v>111</v>
      </c>
      <c r="E565" s="449">
        <v>0.54</v>
      </c>
    </row>
    <row r="566" spans="1:5" ht="12" customHeight="1">
      <c r="A566" s="473"/>
      <c r="B566" s="475"/>
      <c r="C566" s="440" t="s">
        <v>293</v>
      </c>
      <c r="D566" s="469"/>
      <c r="E566" s="442">
        <f>E565/3.4528</f>
        <v>0.15639481000926786</v>
      </c>
    </row>
    <row r="567" spans="1:5" ht="12" customHeight="1">
      <c r="A567" s="472" t="s">
        <v>21</v>
      </c>
      <c r="B567" s="476" t="s">
        <v>112</v>
      </c>
      <c r="C567" s="69" t="s">
        <v>110</v>
      </c>
      <c r="D567" s="468" t="s">
        <v>276</v>
      </c>
      <c r="E567" s="443">
        <v>23.36</v>
      </c>
    </row>
    <row r="568" spans="1:5" ht="12" customHeight="1">
      <c r="A568" s="473"/>
      <c r="B568" s="477"/>
      <c r="C568" s="440" t="s">
        <v>293</v>
      </c>
      <c r="D568" s="469"/>
      <c r="E568" s="442">
        <f>E567/3.4528</f>
        <v>6.765523632993513</v>
      </c>
    </row>
    <row r="569" spans="1:5" ht="12" customHeight="1">
      <c r="A569" s="464" t="s">
        <v>60</v>
      </c>
      <c r="B569" s="466" t="s">
        <v>117</v>
      </c>
      <c r="C569" s="448" t="s">
        <v>110</v>
      </c>
      <c r="D569" s="468" t="s">
        <v>121</v>
      </c>
      <c r="E569" s="444">
        <f>E565+E567</f>
        <v>23.9</v>
      </c>
    </row>
    <row r="570" spans="1:5" ht="12" customHeight="1">
      <c r="A570" s="465"/>
      <c r="B570" s="467"/>
      <c r="C570" s="440" t="s">
        <v>293</v>
      </c>
      <c r="D570" s="469"/>
      <c r="E570" s="442">
        <f>E569/3.4528</f>
        <v>6.92191844300278</v>
      </c>
    </row>
    <row r="571" spans="1:5" ht="12" customHeight="1">
      <c r="A571" s="464" t="s">
        <v>72</v>
      </c>
      <c r="B571" s="470" t="s">
        <v>118</v>
      </c>
      <c r="C571" s="69" t="s">
        <v>110</v>
      </c>
      <c r="D571" s="450"/>
      <c r="E571" s="246">
        <f>E569*1.21</f>
        <v>28.918999999999997</v>
      </c>
    </row>
    <row r="572" spans="1:5" ht="12" customHeight="1">
      <c r="A572" s="465"/>
      <c r="B572" s="471"/>
      <c r="C572" s="440" t="s">
        <v>293</v>
      </c>
      <c r="D572" s="432"/>
      <c r="E572" s="451">
        <f>E571/3.4528</f>
        <v>8.375521316033364</v>
      </c>
    </row>
    <row r="573" spans="2:4" ht="15">
      <c r="B573" t="s">
        <v>189</v>
      </c>
      <c r="C573" t="s">
        <v>193</v>
      </c>
      <c r="D573" s="155" t="s">
        <v>190</v>
      </c>
    </row>
  </sheetData>
  <sheetProtection/>
  <mergeCells count="115">
    <mergeCell ref="A569:A570"/>
    <mergeCell ref="B569:B570"/>
    <mergeCell ref="D569:D570"/>
    <mergeCell ref="A571:A572"/>
    <mergeCell ref="B571:B572"/>
    <mergeCell ref="A565:A566"/>
    <mergeCell ref="B565:B566"/>
    <mergeCell ref="D565:D566"/>
    <mergeCell ref="A567:A568"/>
    <mergeCell ref="B567:B568"/>
    <mergeCell ref="D567:D568"/>
    <mergeCell ref="A558:A559"/>
    <mergeCell ref="B558:B559"/>
    <mergeCell ref="D558:D559"/>
    <mergeCell ref="A560:A561"/>
    <mergeCell ref="B560:B561"/>
    <mergeCell ref="B564:E564"/>
    <mergeCell ref="B550:E550"/>
    <mergeCell ref="A551:A552"/>
    <mergeCell ref="B551:B552"/>
    <mergeCell ref="D551:D552"/>
    <mergeCell ref="A553:A554"/>
    <mergeCell ref="B553:B554"/>
    <mergeCell ref="D553:D554"/>
    <mergeCell ref="A531:A532"/>
    <mergeCell ref="B531:B532"/>
    <mergeCell ref="D531:D532"/>
    <mergeCell ref="A533:A534"/>
    <mergeCell ref="B533:B534"/>
    <mergeCell ref="A527:A528"/>
    <mergeCell ref="B527:B528"/>
    <mergeCell ref="D527:D528"/>
    <mergeCell ref="A529:A530"/>
    <mergeCell ref="B529:B530"/>
    <mergeCell ref="D529:D530"/>
    <mergeCell ref="A520:A521"/>
    <mergeCell ref="B520:B521"/>
    <mergeCell ref="D520:D521"/>
    <mergeCell ref="A522:A523"/>
    <mergeCell ref="B522:B523"/>
    <mergeCell ref="B526:E526"/>
    <mergeCell ref="B512:E512"/>
    <mergeCell ref="A513:A514"/>
    <mergeCell ref="B513:B514"/>
    <mergeCell ref="D513:D514"/>
    <mergeCell ref="A515:A516"/>
    <mergeCell ref="B515:B516"/>
    <mergeCell ref="D515:D516"/>
    <mergeCell ref="D450:D451"/>
    <mergeCell ref="D452:D453"/>
    <mergeCell ref="D454:D455"/>
    <mergeCell ref="D438:D439"/>
    <mergeCell ref="D436:D437"/>
    <mergeCell ref="D443:D444"/>
    <mergeCell ref="B450:B451"/>
    <mergeCell ref="B452:B453"/>
    <mergeCell ref="B454:B455"/>
    <mergeCell ref="B456:B457"/>
    <mergeCell ref="A438:A439"/>
    <mergeCell ref="A436:A437"/>
    <mergeCell ref="A450:A451"/>
    <mergeCell ref="A452:A453"/>
    <mergeCell ref="A454:A455"/>
    <mergeCell ref="A456:A457"/>
    <mergeCell ref="B243:E243"/>
    <mergeCell ref="B436:B437"/>
    <mergeCell ref="B438:B439"/>
    <mergeCell ref="B443:B444"/>
    <mergeCell ref="B445:B446"/>
    <mergeCell ref="A445:A446"/>
    <mergeCell ref="A443:A444"/>
    <mergeCell ref="B403:E403"/>
    <mergeCell ref="B253:E253"/>
    <mergeCell ref="B317:E317"/>
    <mergeCell ref="K19:L19"/>
    <mergeCell ref="B144:E144"/>
    <mergeCell ref="B154:E154"/>
    <mergeCell ref="B177:E177"/>
    <mergeCell ref="B187:E187"/>
    <mergeCell ref="B371:E371"/>
    <mergeCell ref="B210:E210"/>
    <mergeCell ref="B349:E349"/>
    <mergeCell ref="B220:E220"/>
    <mergeCell ref="B307:E307"/>
    <mergeCell ref="B381:E381"/>
    <mergeCell ref="B435:E435"/>
    <mergeCell ref="B449:E449"/>
    <mergeCell ref="B413:E413"/>
    <mergeCell ref="B339:E339"/>
    <mergeCell ref="B275:E275"/>
    <mergeCell ref="B285:E285"/>
    <mergeCell ref="B474:E474"/>
    <mergeCell ref="A475:A476"/>
    <mergeCell ref="B475:B476"/>
    <mergeCell ref="D475:D476"/>
    <mergeCell ref="A477:A478"/>
    <mergeCell ref="B477:B478"/>
    <mergeCell ref="D477:D478"/>
    <mergeCell ref="D491:D492"/>
    <mergeCell ref="A482:A483"/>
    <mergeCell ref="B482:B483"/>
    <mergeCell ref="D482:D483"/>
    <mergeCell ref="A484:A485"/>
    <mergeCell ref="B484:B485"/>
    <mergeCell ref="B488:E488"/>
    <mergeCell ref="A493:A494"/>
    <mergeCell ref="B493:B494"/>
    <mergeCell ref="D493:D494"/>
    <mergeCell ref="A495:A496"/>
    <mergeCell ref="B495:B496"/>
    <mergeCell ref="A489:A490"/>
    <mergeCell ref="B489:B490"/>
    <mergeCell ref="D489:D490"/>
    <mergeCell ref="A491:A492"/>
    <mergeCell ref="B491:B492"/>
  </mergeCells>
  <printOptions/>
  <pageMargins left="0.7874015748031497" right="0.7874015748031497" top="1.1811023622047245" bottom="0.590551181102362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46"/>
  <sheetViews>
    <sheetView zoomScalePageLayoutView="0" workbookViewId="0" topLeftCell="A514">
      <selection activeCell="A516" sqref="A516:E531"/>
    </sheetView>
  </sheetViews>
  <sheetFormatPr defaultColWidth="9.140625" defaultRowHeight="15"/>
  <cols>
    <col min="2" max="2" width="29.8515625" style="0" customWidth="1"/>
    <col min="3" max="3" width="15.8515625" style="0" customWidth="1"/>
    <col min="4" max="4" width="22.7109375" style="0" customWidth="1"/>
  </cols>
  <sheetData>
    <row r="1" spans="1:5" ht="15" hidden="1">
      <c r="A1" s="491" t="s">
        <v>223</v>
      </c>
      <c r="B1" s="491"/>
      <c r="C1" s="491"/>
      <c r="D1" s="491"/>
      <c r="E1" s="491"/>
    </row>
    <row r="2" spans="1:5" ht="15" hidden="1">
      <c r="A2" s="490" t="s">
        <v>224</v>
      </c>
      <c r="B2" s="490"/>
      <c r="C2" s="490"/>
      <c r="D2" s="490"/>
      <c r="E2" s="490"/>
    </row>
    <row r="3" spans="1:5" ht="15" hidden="1">
      <c r="A3" s="164"/>
      <c r="B3" s="164"/>
      <c r="C3" s="164"/>
      <c r="D3" s="164"/>
      <c r="E3" s="164"/>
    </row>
    <row r="4" spans="2:5" ht="15.75" hidden="1">
      <c r="B4" s="489" t="s">
        <v>225</v>
      </c>
      <c r="C4" s="489"/>
      <c r="D4" s="489"/>
      <c r="E4" s="489"/>
    </row>
    <row r="5" spans="1:4" ht="15" hidden="1">
      <c r="A5" s="85"/>
      <c r="B5" s="86"/>
      <c r="C5" s="87" t="s">
        <v>122</v>
      </c>
      <c r="D5" s="87" t="s">
        <v>123</v>
      </c>
    </row>
    <row r="6" spans="1:4" ht="15" hidden="1">
      <c r="A6" s="88" t="s">
        <v>24</v>
      </c>
      <c r="B6" s="89"/>
      <c r="C6" s="90"/>
      <c r="D6" s="91"/>
    </row>
    <row r="7" spans="1:4" ht="15" hidden="1">
      <c r="A7" s="92" t="s">
        <v>124</v>
      </c>
      <c r="B7" s="89"/>
      <c r="C7" s="93" t="s">
        <v>125</v>
      </c>
      <c r="D7" s="94">
        <v>103</v>
      </c>
    </row>
    <row r="8" spans="1:4" ht="15" hidden="1">
      <c r="A8" s="95" t="s">
        <v>126</v>
      </c>
      <c r="B8" s="89"/>
      <c r="C8" s="93" t="s">
        <v>127</v>
      </c>
      <c r="D8" s="96">
        <v>8064</v>
      </c>
    </row>
    <row r="9" spans="1:4" ht="15" hidden="1">
      <c r="A9" s="95" t="s">
        <v>128</v>
      </c>
      <c r="B9" s="89"/>
      <c r="C9" s="93" t="s">
        <v>129</v>
      </c>
      <c r="D9" s="94">
        <v>131.67626</v>
      </c>
    </row>
    <row r="10" spans="1:4" ht="15" hidden="1">
      <c r="A10" s="95" t="s">
        <v>130</v>
      </c>
      <c r="B10" s="89"/>
      <c r="C10" s="93" t="s">
        <v>129</v>
      </c>
      <c r="D10" s="94">
        <v>3.86559</v>
      </c>
    </row>
    <row r="11" spans="1:4" ht="15" hidden="1">
      <c r="A11" s="97" t="s">
        <v>131</v>
      </c>
      <c r="B11" s="98"/>
      <c r="C11" s="99" t="s">
        <v>132</v>
      </c>
      <c r="D11" s="100">
        <f>D12+D14+D13</f>
        <v>1590.960291262136</v>
      </c>
    </row>
    <row r="12" spans="1:4" ht="15" hidden="1">
      <c r="A12" s="95" t="s">
        <v>133</v>
      </c>
      <c r="B12" s="101"/>
      <c r="C12" s="93" t="s">
        <v>134</v>
      </c>
      <c r="D12" s="102">
        <f>D9/D7*1000</f>
        <v>1278.410291262136</v>
      </c>
    </row>
    <row r="13" spans="1:4" ht="15" hidden="1">
      <c r="A13" s="103" t="s">
        <v>135</v>
      </c>
      <c r="B13" s="104"/>
      <c r="C13" s="93" t="s">
        <v>134</v>
      </c>
      <c r="D13" s="102">
        <f>D10/D7*1000</f>
        <v>37.53</v>
      </c>
    </row>
    <row r="14" spans="1:4" ht="15" hidden="1">
      <c r="A14" s="103" t="s">
        <v>136</v>
      </c>
      <c r="B14" s="105"/>
      <c r="C14" s="87" t="s">
        <v>134</v>
      </c>
      <c r="D14" s="106">
        <v>275.02</v>
      </c>
    </row>
    <row r="15" spans="1:35" s="237" customFormat="1" ht="15" hidden="1">
      <c r="A15" s="88" t="s">
        <v>216</v>
      </c>
      <c r="B15" s="107"/>
      <c r="C15" s="93"/>
      <c r="D15" s="108"/>
      <c r="E15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</row>
    <row r="16" spans="1:35" ht="15" hidden="1">
      <c r="A16" s="92" t="s">
        <v>226</v>
      </c>
      <c r="B16" s="107"/>
      <c r="C16" s="93" t="s">
        <v>221</v>
      </c>
      <c r="D16" s="10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</row>
    <row r="17" spans="1:35" ht="15" hidden="1">
      <c r="A17" s="95" t="s">
        <v>126</v>
      </c>
      <c r="B17" s="110"/>
      <c r="C17" s="93" t="s">
        <v>138</v>
      </c>
      <c r="D17" s="111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</row>
    <row r="18" spans="1:35" ht="15" hidden="1">
      <c r="A18" s="95" t="s">
        <v>139</v>
      </c>
      <c r="B18" s="107"/>
      <c r="C18" s="93" t="s">
        <v>140</v>
      </c>
      <c r="D18" s="109">
        <f>D16*0.75*D17/10000</f>
        <v>0</v>
      </c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</row>
    <row r="19" spans="1:35" ht="15" hidden="1">
      <c r="A19" s="95" t="s">
        <v>227</v>
      </c>
      <c r="B19" s="107"/>
      <c r="C19" s="93" t="s">
        <v>129</v>
      </c>
      <c r="D19" s="10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</row>
    <row r="20" spans="1:35" ht="15" hidden="1">
      <c r="A20" s="112" t="s">
        <v>228</v>
      </c>
      <c r="B20" s="101"/>
      <c r="C20" s="90" t="s">
        <v>142</v>
      </c>
      <c r="D20" s="113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</row>
    <row r="21" spans="1:35" ht="15" hidden="1">
      <c r="A21" s="88" t="s">
        <v>144</v>
      </c>
      <c r="B21" s="89"/>
      <c r="C21" s="114"/>
      <c r="D21" s="115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</row>
    <row r="22" spans="1:35" ht="15" hidden="1">
      <c r="A22" s="92" t="s">
        <v>145</v>
      </c>
      <c r="B22" s="107"/>
      <c r="C22" s="93" t="s">
        <v>143</v>
      </c>
      <c r="D22" s="109">
        <v>212.52</v>
      </c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</row>
    <row r="23" spans="1:35" ht="15" hidden="1">
      <c r="A23" s="92" t="s">
        <v>219</v>
      </c>
      <c r="B23" s="107"/>
      <c r="C23" s="93" t="s">
        <v>220</v>
      </c>
      <c r="D23" s="109">
        <v>820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</row>
    <row r="24" spans="1:35" ht="15" hidden="1">
      <c r="A24" s="92" t="s">
        <v>162</v>
      </c>
      <c r="B24" s="107"/>
      <c r="C24" s="93" t="s">
        <v>221</v>
      </c>
      <c r="D24" s="109">
        <f>D22*D23/1000</f>
        <v>174.2664</v>
      </c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</row>
    <row r="25" spans="1:35" s="233" customFormat="1" ht="15" hidden="1">
      <c r="A25" s="95" t="s">
        <v>126</v>
      </c>
      <c r="B25" s="107"/>
      <c r="C25" s="93" t="s">
        <v>138</v>
      </c>
      <c r="D25" s="116">
        <v>3027</v>
      </c>
      <c r="E25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</row>
    <row r="26" spans="1:35" ht="15" hidden="1">
      <c r="A26" s="229" t="s">
        <v>139</v>
      </c>
      <c r="B26" s="230"/>
      <c r="C26" s="231" t="s">
        <v>140</v>
      </c>
      <c r="D26" s="232">
        <f>D24*D25/10000</f>
        <v>52.75043928</v>
      </c>
      <c r="E26" s="233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</row>
    <row r="27" spans="1:35" ht="15" hidden="1">
      <c r="A27" s="234" t="s">
        <v>146</v>
      </c>
      <c r="B27" s="235"/>
      <c r="C27" s="236" t="s">
        <v>129</v>
      </c>
      <c r="D27" s="238">
        <v>21.252</v>
      </c>
      <c r="E27" s="237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</row>
    <row r="28" spans="1:35" s="237" customFormat="1" ht="15" hidden="1">
      <c r="A28" s="95" t="s">
        <v>147</v>
      </c>
      <c r="B28" s="107"/>
      <c r="C28" s="93" t="s">
        <v>142</v>
      </c>
      <c r="D28" s="117">
        <f>D27/D26*1000+0.01</f>
        <v>402.88816158637303</v>
      </c>
      <c r="E28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</row>
    <row r="29" spans="1:35" ht="15" hidden="1">
      <c r="A29" s="95" t="s">
        <v>148</v>
      </c>
      <c r="B29" s="107"/>
      <c r="C29" s="93" t="s">
        <v>129</v>
      </c>
      <c r="D29" s="109">
        <v>0</v>
      </c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</row>
    <row r="30" spans="1:35" ht="15" hidden="1">
      <c r="A30" s="95" t="s">
        <v>149</v>
      </c>
      <c r="B30" s="107"/>
      <c r="C30" s="93" t="s">
        <v>129</v>
      </c>
      <c r="D30" s="109">
        <v>0</v>
      </c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</row>
    <row r="31" spans="1:35" ht="15" hidden="1">
      <c r="A31" s="112" t="s">
        <v>150</v>
      </c>
      <c r="B31" s="101"/>
      <c r="C31" s="90" t="s">
        <v>142</v>
      </c>
      <c r="D31" s="113">
        <f>(D27+D29+D30)/D26*1000+0.01</f>
        <v>402.88816158637303</v>
      </c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</row>
    <row r="32" spans="1:4" ht="15" hidden="1">
      <c r="A32" s="88" t="s">
        <v>151</v>
      </c>
      <c r="B32" s="101"/>
      <c r="C32" s="90"/>
      <c r="D32" s="118"/>
    </row>
    <row r="33" spans="1:4" ht="15" hidden="1">
      <c r="A33" s="92" t="s">
        <v>152</v>
      </c>
      <c r="B33" s="107"/>
      <c r="C33" s="93" t="s">
        <v>143</v>
      </c>
      <c r="D33" s="111">
        <v>165</v>
      </c>
    </row>
    <row r="34" spans="1:4" ht="15" hidden="1">
      <c r="A34" s="92" t="s">
        <v>219</v>
      </c>
      <c r="B34" s="107"/>
      <c r="C34" s="93" t="s">
        <v>220</v>
      </c>
      <c r="D34" s="109">
        <v>730</v>
      </c>
    </row>
    <row r="35" spans="1:4" ht="15" hidden="1">
      <c r="A35" s="92" t="s">
        <v>162</v>
      </c>
      <c r="B35" s="107"/>
      <c r="C35" s="93" t="s">
        <v>221</v>
      </c>
      <c r="D35" s="109">
        <f>D33*D34/1000</f>
        <v>120.45</v>
      </c>
    </row>
    <row r="36" spans="1:4" ht="15" hidden="1">
      <c r="A36" s="95" t="s">
        <v>126</v>
      </c>
      <c r="B36" s="107"/>
      <c r="C36" s="93" t="s">
        <v>138</v>
      </c>
      <c r="D36" s="116">
        <v>3293</v>
      </c>
    </row>
    <row r="37" spans="1:5" ht="15" hidden="1">
      <c r="A37" s="229" t="s">
        <v>139</v>
      </c>
      <c r="B37" s="230"/>
      <c r="C37" s="231" t="s">
        <v>140</v>
      </c>
      <c r="D37" s="232">
        <f>D35*D36/10000</f>
        <v>39.664185</v>
      </c>
      <c r="E37" s="233"/>
    </row>
    <row r="38" spans="1:4" ht="15" hidden="1">
      <c r="A38" s="95" t="s">
        <v>153</v>
      </c>
      <c r="B38" s="107"/>
      <c r="C38" s="93" t="s">
        <v>129</v>
      </c>
      <c r="D38" s="109">
        <v>9.9</v>
      </c>
    </row>
    <row r="39" spans="1:4" ht="15" hidden="1">
      <c r="A39" s="95" t="s">
        <v>148</v>
      </c>
      <c r="B39" s="107"/>
      <c r="C39" s="93" t="s">
        <v>129</v>
      </c>
      <c r="D39" s="109">
        <v>2.31</v>
      </c>
    </row>
    <row r="40" spans="1:5" ht="15" hidden="1">
      <c r="A40" s="234" t="s">
        <v>222</v>
      </c>
      <c r="B40" s="235"/>
      <c r="C40" s="236" t="s">
        <v>129</v>
      </c>
      <c r="D40" s="238">
        <f>D38+D39</f>
        <v>12.21</v>
      </c>
      <c r="E40" s="237"/>
    </row>
    <row r="41" spans="1:4" ht="15" hidden="1">
      <c r="A41" s="95" t="s">
        <v>154</v>
      </c>
      <c r="B41" s="107"/>
      <c r="C41" s="93" t="s">
        <v>142</v>
      </c>
      <c r="D41" s="113">
        <f>D40/D37*1000</f>
        <v>307.8343851008157</v>
      </c>
    </row>
    <row r="42" spans="1:4" ht="15" hidden="1">
      <c r="A42" s="88" t="s">
        <v>155</v>
      </c>
      <c r="B42" s="107"/>
      <c r="C42" s="93"/>
      <c r="D42" s="117"/>
    </row>
    <row r="43" spans="1:4" ht="15" hidden="1">
      <c r="A43" s="92" t="s">
        <v>156</v>
      </c>
      <c r="B43" s="107"/>
      <c r="C43" s="93" t="s">
        <v>143</v>
      </c>
      <c r="D43" s="109"/>
    </row>
    <row r="44" spans="1:4" ht="15" hidden="1">
      <c r="A44" s="95" t="s">
        <v>126</v>
      </c>
      <c r="B44" s="107"/>
      <c r="C44" s="93" t="s">
        <v>138</v>
      </c>
      <c r="D44" s="116"/>
    </row>
    <row r="45" spans="1:4" ht="15" hidden="1">
      <c r="A45" s="95" t="s">
        <v>139</v>
      </c>
      <c r="B45" s="107"/>
      <c r="C45" s="93" t="s">
        <v>140</v>
      </c>
      <c r="D45" s="109"/>
    </row>
    <row r="46" spans="1:4" ht="15" hidden="1">
      <c r="A46" s="95" t="s">
        <v>157</v>
      </c>
      <c r="B46" s="107"/>
      <c r="C46" s="93" t="s">
        <v>129</v>
      </c>
      <c r="D46" s="109"/>
    </row>
    <row r="47" spans="1:4" ht="15" hidden="1">
      <c r="A47" s="95" t="s">
        <v>158</v>
      </c>
      <c r="B47" s="107"/>
      <c r="C47" s="93" t="s">
        <v>142</v>
      </c>
      <c r="D47" s="113"/>
    </row>
    <row r="48" spans="1:4" ht="15" hidden="1">
      <c r="A48" s="119" t="s">
        <v>159</v>
      </c>
      <c r="B48" s="120"/>
      <c r="C48" s="121" t="s">
        <v>142</v>
      </c>
      <c r="D48" s="122">
        <f>(D27+D40)/(D26+D37)*1000</f>
        <v>362.08554934569713</v>
      </c>
    </row>
    <row r="49" spans="1:4" ht="15" hidden="1">
      <c r="A49" s="119" t="s">
        <v>160</v>
      </c>
      <c r="B49" s="120"/>
      <c r="C49" s="121" t="s">
        <v>142</v>
      </c>
      <c r="D49" s="122"/>
    </row>
    <row r="50" spans="1:4" ht="15" hidden="1">
      <c r="A50" s="88" t="s">
        <v>161</v>
      </c>
      <c r="B50" s="89"/>
      <c r="C50" s="123"/>
      <c r="D50" s="124"/>
    </row>
    <row r="51" spans="1:4" ht="15" hidden="1">
      <c r="A51" s="95" t="s">
        <v>162</v>
      </c>
      <c r="B51" s="89"/>
      <c r="C51" s="93" t="s">
        <v>98</v>
      </c>
      <c r="D51" s="125"/>
    </row>
    <row r="52" spans="1:4" ht="15" hidden="1">
      <c r="A52" s="95" t="s">
        <v>163</v>
      </c>
      <c r="B52" s="89"/>
      <c r="C52" s="93" t="s">
        <v>129</v>
      </c>
      <c r="D52" s="125"/>
    </row>
    <row r="53" spans="1:4" ht="15" hidden="1">
      <c r="A53" s="126" t="s">
        <v>164</v>
      </c>
      <c r="B53" s="127"/>
      <c r="C53" s="128" t="s">
        <v>59</v>
      </c>
      <c r="D53" s="129" t="e">
        <f>D52/D51/10</f>
        <v>#DIV/0!</v>
      </c>
    </row>
    <row r="54" spans="1:4" ht="15" hidden="1">
      <c r="A54" s="92" t="s">
        <v>165</v>
      </c>
      <c r="B54" s="107"/>
      <c r="C54" s="93" t="s">
        <v>137</v>
      </c>
      <c r="D54" s="94"/>
    </row>
    <row r="55" spans="1:4" ht="15" hidden="1">
      <c r="A55" s="95" t="s">
        <v>126</v>
      </c>
      <c r="B55" s="107"/>
      <c r="C55" s="93" t="s">
        <v>138</v>
      </c>
      <c r="D55" s="124"/>
    </row>
    <row r="56" spans="1:4" ht="15" hidden="1">
      <c r="A56" s="95" t="s">
        <v>139</v>
      </c>
      <c r="B56" s="107"/>
      <c r="C56" s="93" t="s">
        <v>140</v>
      </c>
      <c r="D56" s="94">
        <f>D54*D55/10000</f>
        <v>0</v>
      </c>
    </row>
    <row r="57" spans="1:4" ht="15" hidden="1">
      <c r="A57" s="95" t="s">
        <v>141</v>
      </c>
      <c r="B57" s="107"/>
      <c r="C57" s="93" t="s">
        <v>129</v>
      </c>
      <c r="D57" s="94"/>
    </row>
    <row r="58" spans="1:4" ht="15" hidden="1">
      <c r="A58" s="95" t="s">
        <v>166</v>
      </c>
      <c r="B58" s="107"/>
      <c r="C58" s="93" t="s">
        <v>142</v>
      </c>
      <c r="D58" s="102" t="e">
        <f>D57/D56*1000</f>
        <v>#DIV/0!</v>
      </c>
    </row>
    <row r="59" ht="15" hidden="1"/>
    <row r="60" spans="1:4" ht="15" hidden="1">
      <c r="A60" t="s">
        <v>189</v>
      </c>
      <c r="D60" s="194" t="s">
        <v>190</v>
      </c>
    </row>
    <row r="61" spans="1:5" ht="15" hidden="1">
      <c r="A61" s="491" t="s">
        <v>223</v>
      </c>
      <c r="B61" s="491"/>
      <c r="C61" s="491"/>
      <c r="D61" s="491"/>
      <c r="E61" s="491"/>
    </row>
    <row r="62" spans="1:5" ht="15" hidden="1">
      <c r="A62" s="490" t="s">
        <v>224</v>
      </c>
      <c r="B62" s="490"/>
      <c r="C62" s="490"/>
      <c r="D62" s="490"/>
      <c r="E62" s="490"/>
    </row>
    <row r="63" spans="1:5" ht="15" hidden="1">
      <c r="A63" s="240"/>
      <c r="B63" s="240"/>
      <c r="C63" s="240"/>
      <c r="D63" s="240"/>
      <c r="E63" s="240"/>
    </row>
    <row r="64" spans="2:5" ht="15.75" hidden="1">
      <c r="B64" s="489" t="s">
        <v>229</v>
      </c>
      <c r="C64" s="489"/>
      <c r="D64" s="489"/>
      <c r="E64" s="489"/>
    </row>
    <row r="65" spans="1:4" ht="15" hidden="1">
      <c r="A65" s="85"/>
      <c r="B65" s="86"/>
      <c r="C65" s="87" t="s">
        <v>122</v>
      </c>
      <c r="D65" s="87" t="s">
        <v>123</v>
      </c>
    </row>
    <row r="66" spans="1:4" ht="15" hidden="1">
      <c r="A66" s="88" t="s">
        <v>24</v>
      </c>
      <c r="B66" s="89"/>
      <c r="C66" s="90"/>
      <c r="D66" s="91"/>
    </row>
    <row r="67" spans="1:4" ht="15" hidden="1">
      <c r="A67" s="92" t="s">
        <v>124</v>
      </c>
      <c r="B67" s="89"/>
      <c r="C67" s="93" t="s">
        <v>125</v>
      </c>
      <c r="D67" s="94">
        <v>108</v>
      </c>
    </row>
    <row r="68" spans="1:4" ht="15" hidden="1">
      <c r="A68" s="95" t="s">
        <v>126</v>
      </c>
      <c r="B68" s="89"/>
      <c r="C68" s="93" t="s">
        <v>127</v>
      </c>
      <c r="D68" s="96">
        <v>8065</v>
      </c>
    </row>
    <row r="69" spans="1:4" ht="15" hidden="1">
      <c r="A69" s="95" t="s">
        <v>128</v>
      </c>
      <c r="B69" s="89"/>
      <c r="C69" s="93" t="s">
        <v>129</v>
      </c>
      <c r="D69" s="94">
        <v>137.83623</v>
      </c>
    </row>
    <row r="70" spans="1:4" ht="15" hidden="1">
      <c r="A70" s="95" t="s">
        <v>130</v>
      </c>
      <c r="B70" s="89"/>
      <c r="C70" s="93" t="s">
        <v>129</v>
      </c>
      <c r="D70" s="94">
        <v>4.05324</v>
      </c>
    </row>
    <row r="71" spans="1:4" ht="15" hidden="1">
      <c r="A71" s="97" t="s">
        <v>131</v>
      </c>
      <c r="B71" s="98"/>
      <c r="C71" s="99" t="s">
        <v>132</v>
      </c>
      <c r="D71" s="100">
        <f>D72+D74+D73</f>
        <v>1588.8113888888888</v>
      </c>
    </row>
    <row r="72" spans="1:4" ht="15" hidden="1">
      <c r="A72" s="95" t="s">
        <v>133</v>
      </c>
      <c r="B72" s="101"/>
      <c r="C72" s="93" t="s">
        <v>134</v>
      </c>
      <c r="D72" s="102">
        <f>D69/D67*1000</f>
        <v>1276.2613888888889</v>
      </c>
    </row>
    <row r="73" spans="1:4" ht="15" hidden="1">
      <c r="A73" s="103" t="s">
        <v>135</v>
      </c>
      <c r="B73" s="104"/>
      <c r="C73" s="93" t="s">
        <v>134</v>
      </c>
      <c r="D73" s="102">
        <f>D70/D67*1000</f>
        <v>37.53</v>
      </c>
    </row>
    <row r="74" spans="1:4" ht="15" hidden="1">
      <c r="A74" s="103" t="s">
        <v>136</v>
      </c>
      <c r="B74" s="105"/>
      <c r="C74" s="87" t="s">
        <v>134</v>
      </c>
      <c r="D74" s="106">
        <v>275.02</v>
      </c>
    </row>
    <row r="75" spans="1:4" ht="15" hidden="1">
      <c r="A75" s="88" t="s">
        <v>216</v>
      </c>
      <c r="B75" s="107"/>
      <c r="C75" s="93"/>
      <c r="D75" s="108"/>
    </row>
    <row r="76" spans="1:4" ht="15" hidden="1">
      <c r="A76" s="92" t="s">
        <v>226</v>
      </c>
      <c r="B76" s="107"/>
      <c r="C76" s="93" t="s">
        <v>221</v>
      </c>
      <c r="D76" s="109"/>
    </row>
    <row r="77" spans="1:4" ht="15" hidden="1">
      <c r="A77" s="95" t="s">
        <v>126</v>
      </c>
      <c r="B77" s="110"/>
      <c r="C77" s="93" t="s">
        <v>138</v>
      </c>
      <c r="D77" s="111"/>
    </row>
    <row r="78" spans="1:4" ht="15" hidden="1">
      <c r="A78" s="95" t="s">
        <v>139</v>
      </c>
      <c r="B78" s="107"/>
      <c r="C78" s="93" t="s">
        <v>140</v>
      </c>
      <c r="D78" s="109">
        <f>D76*0.75*D77/10000</f>
        <v>0</v>
      </c>
    </row>
    <row r="79" spans="1:4" ht="15" hidden="1">
      <c r="A79" s="95" t="s">
        <v>227</v>
      </c>
      <c r="B79" s="107"/>
      <c r="C79" s="93" t="s">
        <v>129</v>
      </c>
      <c r="D79" s="109"/>
    </row>
    <row r="80" spans="1:4" ht="15" hidden="1">
      <c r="A80" s="112" t="s">
        <v>228</v>
      </c>
      <c r="B80" s="101"/>
      <c r="C80" s="90" t="s">
        <v>142</v>
      </c>
      <c r="D80" s="113"/>
    </row>
    <row r="81" spans="1:4" ht="15" hidden="1">
      <c r="A81" s="88" t="s">
        <v>144</v>
      </c>
      <c r="B81" s="89"/>
      <c r="C81" s="114"/>
      <c r="D81" s="115"/>
    </row>
    <row r="82" spans="1:4" ht="15" hidden="1">
      <c r="A82" s="92" t="s">
        <v>145</v>
      </c>
      <c r="B82" s="107"/>
      <c r="C82" s="93" t="s">
        <v>143</v>
      </c>
      <c r="D82" s="109">
        <f>151.8+23.76</f>
        <v>175.56</v>
      </c>
    </row>
    <row r="83" spans="1:4" ht="15" hidden="1">
      <c r="A83" s="92" t="s">
        <v>219</v>
      </c>
      <c r="B83" s="107"/>
      <c r="C83" s="93" t="s">
        <v>220</v>
      </c>
      <c r="D83" s="109">
        <v>820</v>
      </c>
    </row>
    <row r="84" spans="1:4" ht="15" hidden="1">
      <c r="A84" s="92" t="s">
        <v>162</v>
      </c>
      <c r="B84" s="107"/>
      <c r="C84" s="93" t="s">
        <v>221</v>
      </c>
      <c r="D84" s="109">
        <f>D82*D83/1000</f>
        <v>143.9592</v>
      </c>
    </row>
    <row r="85" spans="1:4" ht="15" hidden="1">
      <c r="A85" s="95" t="s">
        <v>126</v>
      </c>
      <c r="B85" s="107"/>
      <c r="C85" s="93" t="s">
        <v>138</v>
      </c>
      <c r="D85" s="116">
        <v>3027</v>
      </c>
    </row>
    <row r="86" spans="1:5" ht="15" hidden="1">
      <c r="A86" s="229" t="s">
        <v>139</v>
      </c>
      <c r="B86" s="230"/>
      <c r="C86" s="231" t="s">
        <v>140</v>
      </c>
      <c r="D86" s="232">
        <f>D84*D85/10000</f>
        <v>43.57644984</v>
      </c>
      <c r="E86" s="233"/>
    </row>
    <row r="87" spans="1:5" ht="15" hidden="1">
      <c r="A87" s="234" t="s">
        <v>146</v>
      </c>
      <c r="B87" s="235"/>
      <c r="C87" s="236" t="s">
        <v>129</v>
      </c>
      <c r="D87" s="238">
        <f>15.18+0.216</f>
        <v>15.395999999999999</v>
      </c>
      <c r="E87" s="237"/>
    </row>
    <row r="88" spans="1:4" ht="15" hidden="1">
      <c r="A88" s="95" t="s">
        <v>147</v>
      </c>
      <c r="B88" s="107"/>
      <c r="C88" s="93" t="s">
        <v>142</v>
      </c>
      <c r="D88" s="117">
        <f>D87/D86*1000</f>
        <v>353.31010342810424</v>
      </c>
    </row>
    <row r="89" spans="1:4" ht="15" hidden="1">
      <c r="A89" s="95" t="s">
        <v>148</v>
      </c>
      <c r="B89" s="107"/>
      <c r="C89" s="93" t="s">
        <v>129</v>
      </c>
      <c r="D89" s="109">
        <v>0</v>
      </c>
    </row>
    <row r="90" spans="1:4" ht="15" hidden="1">
      <c r="A90" s="95" t="s">
        <v>149</v>
      </c>
      <c r="B90" s="107"/>
      <c r="C90" s="93" t="s">
        <v>129</v>
      </c>
      <c r="D90" s="109">
        <v>0</v>
      </c>
    </row>
    <row r="91" spans="1:4" ht="15" hidden="1">
      <c r="A91" s="112" t="s">
        <v>150</v>
      </c>
      <c r="B91" s="101"/>
      <c r="C91" s="90" t="s">
        <v>142</v>
      </c>
      <c r="D91" s="113">
        <f>(D87+D89+D90)/D86*1000</f>
        <v>353.31010342810424</v>
      </c>
    </row>
    <row r="92" spans="1:4" ht="15" hidden="1">
      <c r="A92" s="88" t="s">
        <v>151</v>
      </c>
      <c r="B92" s="101"/>
      <c r="C92" s="90"/>
      <c r="D92" s="118"/>
    </row>
    <row r="93" spans="1:4" ht="15" hidden="1">
      <c r="A93" s="92" t="s">
        <v>152</v>
      </c>
      <c r="B93" s="107"/>
      <c r="C93" s="93" t="s">
        <v>143</v>
      </c>
      <c r="D93" s="108">
        <v>164.83</v>
      </c>
    </row>
    <row r="94" spans="1:4" ht="15" hidden="1">
      <c r="A94" s="92" t="s">
        <v>219</v>
      </c>
      <c r="B94" s="107"/>
      <c r="C94" s="93" t="s">
        <v>220</v>
      </c>
      <c r="D94" s="111">
        <v>750</v>
      </c>
    </row>
    <row r="95" spans="1:4" ht="15" hidden="1">
      <c r="A95" s="92" t="s">
        <v>162</v>
      </c>
      <c r="B95" s="107"/>
      <c r="C95" s="93" t="s">
        <v>221</v>
      </c>
      <c r="D95" s="109">
        <f>D93*D94/1000</f>
        <v>123.62250000000002</v>
      </c>
    </row>
    <row r="96" spans="1:4" ht="15" hidden="1">
      <c r="A96" s="95" t="s">
        <v>126</v>
      </c>
      <c r="B96" s="107"/>
      <c r="C96" s="93" t="s">
        <v>138</v>
      </c>
      <c r="D96" s="116">
        <v>3293</v>
      </c>
    </row>
    <row r="97" spans="1:5" ht="15" hidden="1">
      <c r="A97" s="229" t="s">
        <v>139</v>
      </c>
      <c r="B97" s="230"/>
      <c r="C97" s="231" t="s">
        <v>140</v>
      </c>
      <c r="D97" s="232">
        <f>D95*D96/10000</f>
        <v>40.708889250000006</v>
      </c>
      <c r="E97" s="233"/>
    </row>
    <row r="98" spans="1:4" ht="15" hidden="1">
      <c r="A98" s="95" t="s">
        <v>153</v>
      </c>
      <c r="B98" s="107"/>
      <c r="C98" s="93" t="s">
        <v>129</v>
      </c>
      <c r="D98" s="109">
        <v>10.21946</v>
      </c>
    </row>
    <row r="99" spans="1:4" ht="15" hidden="1">
      <c r="A99" s="95" t="s">
        <v>148</v>
      </c>
      <c r="B99" s="107"/>
      <c r="C99" s="93" t="s">
        <v>129</v>
      </c>
      <c r="D99" s="109">
        <v>1.97796</v>
      </c>
    </row>
    <row r="100" spans="1:5" ht="15" hidden="1">
      <c r="A100" s="234" t="s">
        <v>222</v>
      </c>
      <c r="B100" s="235"/>
      <c r="C100" s="236" t="s">
        <v>129</v>
      </c>
      <c r="D100" s="238">
        <f>D98+D99</f>
        <v>12.19742</v>
      </c>
      <c r="E100" s="237"/>
    </row>
    <row r="101" spans="1:4" ht="15" hidden="1">
      <c r="A101" s="95" t="s">
        <v>154</v>
      </c>
      <c r="B101" s="107"/>
      <c r="C101" s="93" t="s">
        <v>142</v>
      </c>
      <c r="D101" s="113">
        <f>D100/D97*1000</f>
        <v>299.625468164794</v>
      </c>
    </row>
    <row r="102" spans="1:4" ht="15" hidden="1">
      <c r="A102" s="88" t="s">
        <v>155</v>
      </c>
      <c r="B102" s="107"/>
      <c r="C102" s="93"/>
      <c r="D102" s="117"/>
    </row>
    <row r="103" spans="1:4" ht="15" hidden="1">
      <c r="A103" s="92" t="s">
        <v>156</v>
      </c>
      <c r="B103" s="107"/>
      <c r="C103" s="93" t="s">
        <v>143</v>
      </c>
      <c r="D103" s="109"/>
    </row>
    <row r="104" spans="1:4" ht="15" hidden="1">
      <c r="A104" s="95" t="s">
        <v>126</v>
      </c>
      <c r="B104" s="107"/>
      <c r="C104" s="93" t="s">
        <v>138</v>
      </c>
      <c r="D104" s="116"/>
    </row>
    <row r="105" spans="1:4" ht="15" hidden="1">
      <c r="A105" s="95" t="s">
        <v>139</v>
      </c>
      <c r="B105" s="107"/>
      <c r="C105" s="93" t="s">
        <v>140</v>
      </c>
      <c r="D105" s="109"/>
    </row>
    <row r="106" spans="1:4" ht="15" hidden="1">
      <c r="A106" s="95" t="s">
        <v>157</v>
      </c>
      <c r="B106" s="107"/>
      <c r="C106" s="93" t="s">
        <v>129</v>
      </c>
      <c r="D106" s="109"/>
    </row>
    <row r="107" spans="1:4" ht="15" hidden="1">
      <c r="A107" s="95" t="s">
        <v>158</v>
      </c>
      <c r="B107" s="107"/>
      <c r="C107" s="93" t="s">
        <v>142</v>
      </c>
      <c r="D107" s="113"/>
    </row>
    <row r="108" spans="1:4" ht="15" hidden="1">
      <c r="A108" s="119" t="s">
        <v>159</v>
      </c>
      <c r="B108" s="120"/>
      <c r="C108" s="121" t="s">
        <v>142</v>
      </c>
      <c r="D108" s="122">
        <f>(D87+D100)/(D86+D97)*1000</f>
        <v>327.3810166503062</v>
      </c>
    </row>
    <row r="109" spans="1:4" ht="15" hidden="1">
      <c r="A109" s="119" t="s">
        <v>160</v>
      </c>
      <c r="B109" s="120"/>
      <c r="C109" s="121" t="s">
        <v>142</v>
      </c>
      <c r="D109" s="122"/>
    </row>
    <row r="110" spans="1:4" ht="15" hidden="1">
      <c r="A110" s="88" t="s">
        <v>161</v>
      </c>
      <c r="B110" s="89"/>
      <c r="C110" s="123"/>
      <c r="D110" s="124"/>
    </row>
    <row r="111" spans="1:4" ht="15" hidden="1">
      <c r="A111" s="95" t="s">
        <v>162</v>
      </c>
      <c r="B111" s="89"/>
      <c r="C111" s="93" t="s">
        <v>98</v>
      </c>
      <c r="D111" s="125"/>
    </row>
    <row r="112" spans="1:4" ht="15" hidden="1">
      <c r="A112" s="95" t="s">
        <v>163</v>
      </c>
      <c r="B112" s="89"/>
      <c r="C112" s="93" t="s">
        <v>129</v>
      </c>
      <c r="D112" s="125"/>
    </row>
    <row r="113" spans="1:4" ht="15" hidden="1">
      <c r="A113" s="126" t="s">
        <v>164</v>
      </c>
      <c r="B113" s="127"/>
      <c r="C113" s="128" t="s">
        <v>59</v>
      </c>
      <c r="D113" s="129" t="e">
        <f>D112/D111/10</f>
        <v>#DIV/0!</v>
      </c>
    </row>
    <row r="114" spans="1:4" ht="15" hidden="1">
      <c r="A114" s="92" t="s">
        <v>165</v>
      </c>
      <c r="B114" s="107"/>
      <c r="C114" s="93" t="s">
        <v>137</v>
      </c>
      <c r="D114" s="94"/>
    </row>
    <row r="115" spans="1:4" ht="15" hidden="1">
      <c r="A115" s="95" t="s">
        <v>126</v>
      </c>
      <c r="B115" s="107"/>
      <c r="C115" s="93" t="s">
        <v>138</v>
      </c>
      <c r="D115" s="124"/>
    </row>
    <row r="116" spans="1:4" ht="15" hidden="1">
      <c r="A116" s="95" t="s">
        <v>139</v>
      </c>
      <c r="B116" s="107"/>
      <c r="C116" s="93" t="s">
        <v>140</v>
      </c>
      <c r="D116" s="94">
        <f>D114*D115/10000</f>
        <v>0</v>
      </c>
    </row>
    <row r="117" spans="1:4" ht="15" hidden="1">
      <c r="A117" s="95" t="s">
        <v>141</v>
      </c>
      <c r="B117" s="107"/>
      <c r="C117" s="93" t="s">
        <v>129</v>
      </c>
      <c r="D117" s="94"/>
    </row>
    <row r="118" spans="1:4" ht="15" hidden="1">
      <c r="A118" s="95" t="s">
        <v>166</v>
      </c>
      <c r="B118" s="107"/>
      <c r="C118" s="93" t="s">
        <v>142</v>
      </c>
      <c r="D118" s="102" t="e">
        <f>D117/D116*1000</f>
        <v>#DIV/0!</v>
      </c>
    </row>
    <row r="119" ht="15" hidden="1"/>
    <row r="120" spans="1:4" ht="15" hidden="1">
      <c r="A120" t="s">
        <v>189</v>
      </c>
      <c r="D120" s="194" t="s">
        <v>190</v>
      </c>
    </row>
    <row r="121" spans="1:5" ht="15" hidden="1">
      <c r="A121" s="491" t="s">
        <v>223</v>
      </c>
      <c r="B121" s="491"/>
      <c r="C121" s="491"/>
      <c r="D121" s="491"/>
      <c r="E121" s="491"/>
    </row>
    <row r="122" spans="1:5" ht="15" hidden="1">
      <c r="A122" s="490" t="s">
        <v>224</v>
      </c>
      <c r="B122" s="490"/>
      <c r="C122" s="490"/>
      <c r="D122" s="490"/>
      <c r="E122" s="490"/>
    </row>
    <row r="123" spans="1:5" ht="15" hidden="1">
      <c r="A123" s="249"/>
      <c r="B123" s="249"/>
      <c r="C123" s="249"/>
      <c r="D123" s="249"/>
      <c r="E123" s="249"/>
    </row>
    <row r="124" spans="2:5" ht="15.75" hidden="1">
      <c r="B124" s="489" t="s">
        <v>234</v>
      </c>
      <c r="C124" s="489"/>
      <c r="D124" s="489"/>
      <c r="E124" s="489"/>
    </row>
    <row r="125" spans="1:4" ht="15" hidden="1">
      <c r="A125" s="85"/>
      <c r="B125" s="86"/>
      <c r="C125" s="87" t="s">
        <v>122</v>
      </c>
      <c r="D125" s="87" t="s">
        <v>123</v>
      </c>
    </row>
    <row r="126" spans="1:4" ht="15" hidden="1">
      <c r="A126" s="88" t="s">
        <v>24</v>
      </c>
      <c r="B126" s="89"/>
      <c r="C126" s="90"/>
      <c r="D126" s="91"/>
    </row>
    <row r="127" spans="1:4" ht="15" hidden="1">
      <c r="A127" s="92" t="s">
        <v>124</v>
      </c>
      <c r="B127" s="89"/>
      <c r="C127" s="93" t="s">
        <v>125</v>
      </c>
      <c r="D127" s="94">
        <v>108</v>
      </c>
    </row>
    <row r="128" spans="1:4" ht="15" hidden="1">
      <c r="A128" s="95" t="s">
        <v>126</v>
      </c>
      <c r="B128" s="89"/>
      <c r="C128" s="93" t="s">
        <v>127</v>
      </c>
      <c r="D128" s="96">
        <v>8094</v>
      </c>
    </row>
    <row r="129" spans="1:4" ht="15" hidden="1">
      <c r="A129" s="95" t="s">
        <v>128</v>
      </c>
      <c r="B129" s="89"/>
      <c r="C129" s="93" t="s">
        <v>129</v>
      </c>
      <c r="D129" s="94">
        <v>136.09761</v>
      </c>
    </row>
    <row r="130" spans="1:4" ht="15" hidden="1">
      <c r="A130" s="95" t="s">
        <v>130</v>
      </c>
      <c r="B130" s="89"/>
      <c r="C130" s="93" t="s">
        <v>129</v>
      </c>
      <c r="D130" s="94">
        <v>4.05324</v>
      </c>
    </row>
    <row r="131" spans="1:4" ht="15" hidden="1">
      <c r="A131" s="97" t="s">
        <v>131</v>
      </c>
      <c r="B131" s="98"/>
      <c r="C131" s="99" t="s">
        <v>132</v>
      </c>
      <c r="D131" s="100">
        <f>D132+D134+D133</f>
        <v>1572.7130555555557</v>
      </c>
    </row>
    <row r="132" spans="1:4" ht="15" hidden="1">
      <c r="A132" s="95" t="s">
        <v>133</v>
      </c>
      <c r="B132" s="101"/>
      <c r="C132" s="93" t="s">
        <v>134</v>
      </c>
      <c r="D132" s="102">
        <f>D129/D127*1000</f>
        <v>1260.1630555555557</v>
      </c>
    </row>
    <row r="133" spans="1:4" ht="15" hidden="1">
      <c r="A133" s="103" t="s">
        <v>135</v>
      </c>
      <c r="B133" s="104"/>
      <c r="C133" s="93" t="s">
        <v>134</v>
      </c>
      <c r="D133" s="102">
        <f>D130/D127*1000</f>
        <v>37.53</v>
      </c>
    </row>
    <row r="134" spans="1:4" ht="15" hidden="1">
      <c r="A134" s="103" t="s">
        <v>136</v>
      </c>
      <c r="B134" s="105"/>
      <c r="C134" s="87" t="s">
        <v>134</v>
      </c>
      <c r="D134" s="106">
        <v>275.02</v>
      </c>
    </row>
    <row r="135" spans="1:4" ht="15" hidden="1">
      <c r="A135" s="88" t="s">
        <v>216</v>
      </c>
      <c r="B135" s="107"/>
      <c r="C135" s="93"/>
      <c r="D135" s="108"/>
    </row>
    <row r="136" spans="1:4" ht="15" hidden="1">
      <c r="A136" s="92" t="s">
        <v>226</v>
      </c>
      <c r="B136" s="107"/>
      <c r="C136" s="93" t="s">
        <v>221</v>
      </c>
      <c r="D136" s="109"/>
    </row>
    <row r="137" spans="1:4" ht="15" hidden="1">
      <c r="A137" s="95" t="s">
        <v>126</v>
      </c>
      <c r="B137" s="110"/>
      <c r="C137" s="93" t="s">
        <v>138</v>
      </c>
      <c r="D137" s="111"/>
    </row>
    <row r="138" spans="1:4" ht="15" hidden="1">
      <c r="A138" s="95" t="s">
        <v>139</v>
      </c>
      <c r="B138" s="107"/>
      <c r="C138" s="93" t="s">
        <v>140</v>
      </c>
      <c r="D138" s="109">
        <f>D136*0.75*D137/10000</f>
        <v>0</v>
      </c>
    </row>
    <row r="139" spans="1:4" ht="15" hidden="1">
      <c r="A139" s="95" t="s">
        <v>227</v>
      </c>
      <c r="B139" s="107"/>
      <c r="C139" s="93" t="s">
        <v>129</v>
      </c>
      <c r="D139" s="109"/>
    </row>
    <row r="140" spans="1:4" ht="15" hidden="1">
      <c r="A140" s="112" t="s">
        <v>228</v>
      </c>
      <c r="B140" s="101"/>
      <c r="C140" s="90" t="s">
        <v>142</v>
      </c>
      <c r="D140" s="113"/>
    </row>
    <row r="141" spans="1:4" ht="15" hidden="1">
      <c r="A141" s="88" t="s">
        <v>144</v>
      </c>
      <c r="B141" s="89"/>
      <c r="C141" s="114"/>
      <c r="D141" s="115"/>
    </row>
    <row r="142" spans="1:4" ht="15" hidden="1">
      <c r="A142" s="92" t="s">
        <v>145</v>
      </c>
      <c r="B142" s="107"/>
      <c r="C142" s="93" t="s">
        <v>143</v>
      </c>
      <c r="D142" s="109">
        <v>212.52</v>
      </c>
    </row>
    <row r="143" spans="1:4" ht="15" hidden="1">
      <c r="A143" s="92" t="s">
        <v>219</v>
      </c>
      <c r="B143" s="107"/>
      <c r="C143" s="93" t="s">
        <v>220</v>
      </c>
      <c r="D143" s="109">
        <v>820</v>
      </c>
    </row>
    <row r="144" spans="1:4" ht="15" hidden="1">
      <c r="A144" s="92" t="s">
        <v>162</v>
      </c>
      <c r="B144" s="107"/>
      <c r="C144" s="93" t="s">
        <v>221</v>
      </c>
      <c r="D144" s="109">
        <f>D142*D143/1000</f>
        <v>174.2664</v>
      </c>
    </row>
    <row r="145" spans="1:4" ht="15" hidden="1">
      <c r="A145" s="95" t="s">
        <v>126</v>
      </c>
      <c r="B145" s="107"/>
      <c r="C145" s="93" t="s">
        <v>138</v>
      </c>
      <c r="D145" s="116">
        <v>3027</v>
      </c>
    </row>
    <row r="146" spans="1:5" ht="15" hidden="1">
      <c r="A146" s="229" t="s">
        <v>139</v>
      </c>
      <c r="B146" s="230"/>
      <c r="C146" s="231" t="s">
        <v>140</v>
      </c>
      <c r="D146" s="232">
        <f>D144*D145/10000</f>
        <v>52.75043928</v>
      </c>
      <c r="E146" s="233"/>
    </row>
    <row r="147" spans="1:5" ht="15" hidden="1">
      <c r="A147" s="234" t="s">
        <v>146</v>
      </c>
      <c r="B147" s="235"/>
      <c r="C147" s="236" t="s">
        <v>129</v>
      </c>
      <c r="D147" s="238">
        <v>21.252</v>
      </c>
      <c r="E147" s="237"/>
    </row>
    <row r="148" spans="1:4" ht="15" hidden="1">
      <c r="A148" s="95" t="s">
        <v>147</v>
      </c>
      <c r="B148" s="107"/>
      <c r="C148" s="93" t="s">
        <v>142</v>
      </c>
      <c r="D148" s="117">
        <f>D147/D146*1000</f>
        <v>402.87816158637304</v>
      </c>
    </row>
    <row r="149" spans="1:4" ht="15" hidden="1">
      <c r="A149" s="95" t="s">
        <v>148</v>
      </c>
      <c r="B149" s="107"/>
      <c r="C149" s="93" t="s">
        <v>129</v>
      </c>
      <c r="D149" s="109">
        <v>0</v>
      </c>
    </row>
    <row r="150" spans="1:4" ht="15" hidden="1">
      <c r="A150" s="95" t="s">
        <v>149</v>
      </c>
      <c r="B150" s="107"/>
      <c r="C150" s="93" t="s">
        <v>129</v>
      </c>
      <c r="D150" s="109">
        <v>0</v>
      </c>
    </row>
    <row r="151" spans="1:4" ht="15" hidden="1">
      <c r="A151" s="112" t="s">
        <v>150</v>
      </c>
      <c r="B151" s="101"/>
      <c r="C151" s="90" t="s">
        <v>142</v>
      </c>
      <c r="D151" s="113">
        <f>(D147+D149+D150)/D146*1000</f>
        <v>402.87816158637304</v>
      </c>
    </row>
    <row r="152" spans="1:4" ht="15" hidden="1">
      <c r="A152" s="88" t="s">
        <v>151</v>
      </c>
      <c r="B152" s="101"/>
      <c r="C152" s="90"/>
      <c r="D152" s="118"/>
    </row>
    <row r="153" spans="1:4" ht="15" hidden="1">
      <c r="A153" s="92" t="s">
        <v>152</v>
      </c>
      <c r="B153" s="107"/>
      <c r="C153" s="93" t="s">
        <v>143</v>
      </c>
      <c r="D153" s="108">
        <v>42.39</v>
      </c>
    </row>
    <row r="154" spans="1:4" ht="15" hidden="1">
      <c r="A154" s="92" t="s">
        <v>219</v>
      </c>
      <c r="B154" s="107"/>
      <c r="C154" s="93" t="s">
        <v>220</v>
      </c>
      <c r="D154" s="111">
        <v>750</v>
      </c>
    </row>
    <row r="155" spans="1:4" ht="15" hidden="1">
      <c r="A155" s="92" t="s">
        <v>162</v>
      </c>
      <c r="B155" s="107"/>
      <c r="C155" s="93" t="s">
        <v>221</v>
      </c>
      <c r="D155" s="109">
        <f>D153*D154/1000</f>
        <v>31.7925</v>
      </c>
    </row>
    <row r="156" spans="1:4" ht="15" hidden="1">
      <c r="A156" s="95" t="s">
        <v>126</v>
      </c>
      <c r="B156" s="107"/>
      <c r="C156" s="93" t="s">
        <v>138</v>
      </c>
      <c r="D156" s="116">
        <v>3293</v>
      </c>
    </row>
    <row r="157" spans="1:5" ht="15" hidden="1">
      <c r="A157" s="229" t="s">
        <v>139</v>
      </c>
      <c r="B157" s="230"/>
      <c r="C157" s="231" t="s">
        <v>140</v>
      </c>
      <c r="D157" s="232">
        <f>D155*D156/10000</f>
        <v>10.46927025</v>
      </c>
      <c r="E157" s="233"/>
    </row>
    <row r="158" spans="1:4" ht="15" hidden="1">
      <c r="A158" s="95" t="s">
        <v>153</v>
      </c>
      <c r="B158" s="107"/>
      <c r="C158" s="93" t="s">
        <v>129</v>
      </c>
      <c r="D158" s="109">
        <v>2.62818</v>
      </c>
    </row>
    <row r="159" spans="1:4" ht="15" hidden="1">
      <c r="A159" s="95" t="s">
        <v>148</v>
      </c>
      <c r="B159" s="107"/>
      <c r="C159" s="93" t="s">
        <v>129</v>
      </c>
      <c r="D159" s="109">
        <v>0.50868</v>
      </c>
    </row>
    <row r="160" spans="1:5" ht="15" hidden="1">
      <c r="A160" s="234" t="s">
        <v>222</v>
      </c>
      <c r="B160" s="235"/>
      <c r="C160" s="236" t="s">
        <v>129</v>
      </c>
      <c r="D160" s="238">
        <f>D158+D159</f>
        <v>3.13686</v>
      </c>
      <c r="E160" s="237"/>
    </row>
    <row r="161" spans="1:4" ht="15" hidden="1">
      <c r="A161" s="95" t="s">
        <v>154</v>
      </c>
      <c r="B161" s="107"/>
      <c r="C161" s="93" t="s">
        <v>142</v>
      </c>
      <c r="D161" s="113">
        <f>D160/D157*1000</f>
        <v>299.62546816479403</v>
      </c>
    </row>
    <row r="162" spans="1:4" ht="15" hidden="1">
      <c r="A162" s="88" t="s">
        <v>155</v>
      </c>
      <c r="B162" s="107"/>
      <c r="C162" s="93"/>
      <c r="D162" s="117"/>
    </row>
    <row r="163" spans="1:4" ht="15" hidden="1">
      <c r="A163" s="92" t="s">
        <v>156</v>
      </c>
      <c r="B163" s="107"/>
      <c r="C163" s="93" t="s">
        <v>143</v>
      </c>
      <c r="D163" s="109"/>
    </row>
    <row r="164" spans="1:4" ht="15" hidden="1">
      <c r="A164" s="95" t="s">
        <v>126</v>
      </c>
      <c r="B164" s="107"/>
      <c r="C164" s="93" t="s">
        <v>138</v>
      </c>
      <c r="D164" s="116"/>
    </row>
    <row r="165" spans="1:4" ht="15" hidden="1">
      <c r="A165" s="95" t="s">
        <v>139</v>
      </c>
      <c r="B165" s="107"/>
      <c r="C165" s="93" t="s">
        <v>140</v>
      </c>
      <c r="D165" s="109"/>
    </row>
    <row r="166" spans="1:4" ht="15" hidden="1">
      <c r="A166" s="95" t="s">
        <v>157</v>
      </c>
      <c r="B166" s="107"/>
      <c r="C166" s="93" t="s">
        <v>129</v>
      </c>
      <c r="D166" s="109"/>
    </row>
    <row r="167" spans="1:4" ht="15" hidden="1">
      <c r="A167" s="95" t="s">
        <v>158</v>
      </c>
      <c r="B167" s="107"/>
      <c r="C167" s="93" t="s">
        <v>142</v>
      </c>
      <c r="D167" s="113"/>
    </row>
    <row r="168" spans="1:4" ht="15" hidden="1">
      <c r="A168" s="119" t="s">
        <v>159</v>
      </c>
      <c r="B168" s="120"/>
      <c r="C168" s="121" t="s">
        <v>142</v>
      </c>
      <c r="D168" s="122">
        <f>(D147+D160)/(D146+D157)*1000</f>
        <v>385.77937452285533</v>
      </c>
    </row>
    <row r="169" spans="1:4" ht="15" hidden="1">
      <c r="A169" s="119" t="s">
        <v>160</v>
      </c>
      <c r="B169" s="120"/>
      <c r="C169" s="121" t="s">
        <v>142</v>
      </c>
      <c r="D169" s="122"/>
    </row>
    <row r="170" spans="1:4" ht="15" hidden="1">
      <c r="A170" s="88" t="s">
        <v>161</v>
      </c>
      <c r="B170" s="89"/>
      <c r="C170" s="123"/>
      <c r="D170" s="124"/>
    </row>
    <row r="171" spans="1:4" ht="15" hidden="1">
      <c r="A171" s="95" t="s">
        <v>162</v>
      </c>
      <c r="B171" s="89"/>
      <c r="C171" s="93" t="s">
        <v>98</v>
      </c>
      <c r="D171" s="125"/>
    </row>
    <row r="172" spans="1:4" ht="15" hidden="1">
      <c r="A172" s="95" t="s">
        <v>163</v>
      </c>
      <c r="B172" s="89"/>
      <c r="C172" s="93" t="s">
        <v>129</v>
      </c>
      <c r="D172" s="125"/>
    </row>
    <row r="173" spans="1:4" ht="15" hidden="1">
      <c r="A173" s="126" t="s">
        <v>164</v>
      </c>
      <c r="B173" s="127"/>
      <c r="C173" s="128" t="s">
        <v>59</v>
      </c>
      <c r="D173" s="129" t="e">
        <f>D172/D171/10</f>
        <v>#DIV/0!</v>
      </c>
    </row>
    <row r="174" spans="1:4" ht="15" hidden="1">
      <c r="A174" s="92" t="s">
        <v>165</v>
      </c>
      <c r="B174" s="107"/>
      <c r="C174" s="93" t="s">
        <v>137</v>
      </c>
      <c r="D174" s="94"/>
    </row>
    <row r="175" spans="1:4" ht="15" hidden="1">
      <c r="A175" s="95" t="s">
        <v>126</v>
      </c>
      <c r="B175" s="107"/>
      <c r="C175" s="93" t="s">
        <v>138</v>
      </c>
      <c r="D175" s="124"/>
    </row>
    <row r="176" spans="1:4" ht="15" hidden="1">
      <c r="A176" s="95" t="s">
        <v>139</v>
      </c>
      <c r="B176" s="107"/>
      <c r="C176" s="93" t="s">
        <v>140</v>
      </c>
      <c r="D176" s="94">
        <f>D174*D175/10000</f>
        <v>0</v>
      </c>
    </row>
    <row r="177" spans="1:4" ht="15" hidden="1">
      <c r="A177" s="95" t="s">
        <v>141</v>
      </c>
      <c r="B177" s="107"/>
      <c r="C177" s="93" t="s">
        <v>129</v>
      </c>
      <c r="D177" s="94"/>
    </row>
    <row r="178" spans="1:4" ht="15" hidden="1">
      <c r="A178" s="95" t="s">
        <v>166</v>
      </c>
      <c r="B178" s="107"/>
      <c r="C178" s="93" t="s">
        <v>142</v>
      </c>
      <c r="D178" s="102" t="e">
        <f>D177/D176*1000</f>
        <v>#DIV/0!</v>
      </c>
    </row>
    <row r="179" ht="15" hidden="1"/>
    <row r="180" ht="15" hidden="1"/>
    <row r="181" ht="15" hidden="1"/>
    <row r="182" spans="1:4" ht="15" hidden="1">
      <c r="A182" t="s">
        <v>235</v>
      </c>
      <c r="D182" s="194" t="s">
        <v>236</v>
      </c>
    </row>
    <row r="183" ht="15" hidden="1"/>
    <row r="184" ht="15" hidden="1"/>
    <row r="185" ht="15" hidden="1"/>
    <row r="186" spans="1:5" ht="15" hidden="1">
      <c r="A186" s="491" t="s">
        <v>223</v>
      </c>
      <c r="B186" s="491"/>
      <c r="C186" s="491"/>
      <c r="D186" s="491"/>
      <c r="E186" s="491"/>
    </row>
    <row r="187" spans="1:5" ht="15" hidden="1">
      <c r="A187" s="490" t="s">
        <v>224</v>
      </c>
      <c r="B187" s="490"/>
      <c r="C187" s="490"/>
      <c r="D187" s="490"/>
      <c r="E187" s="490"/>
    </row>
    <row r="188" spans="1:5" ht="15" hidden="1">
      <c r="A188" s="251"/>
      <c r="B188" s="251"/>
      <c r="C188" s="251"/>
      <c r="D188" s="251"/>
      <c r="E188" s="251"/>
    </row>
    <row r="189" spans="2:5" ht="15.75" hidden="1">
      <c r="B189" s="489" t="s">
        <v>239</v>
      </c>
      <c r="C189" s="489"/>
      <c r="D189" s="489"/>
      <c r="E189" s="489"/>
    </row>
    <row r="190" spans="1:4" ht="15" hidden="1">
      <c r="A190" s="85"/>
      <c r="B190" s="86"/>
      <c r="C190" s="87" t="s">
        <v>122</v>
      </c>
      <c r="D190" s="87" t="s">
        <v>123</v>
      </c>
    </row>
    <row r="191" spans="1:4" ht="15" hidden="1">
      <c r="A191" s="88" t="s">
        <v>24</v>
      </c>
      <c r="B191" s="89"/>
      <c r="C191" s="90"/>
      <c r="D191" s="91"/>
    </row>
    <row r="192" spans="1:4" ht="15" hidden="1">
      <c r="A192" s="92" t="s">
        <v>124</v>
      </c>
      <c r="B192" s="89"/>
      <c r="C192" s="93" t="s">
        <v>125</v>
      </c>
      <c r="D192" s="94">
        <v>117</v>
      </c>
    </row>
    <row r="193" spans="1:4" ht="15" hidden="1">
      <c r="A193" s="95" t="s">
        <v>126</v>
      </c>
      <c r="B193" s="89"/>
      <c r="C193" s="93" t="s">
        <v>127</v>
      </c>
      <c r="D193" s="96">
        <v>8099</v>
      </c>
    </row>
    <row r="194" spans="1:4" ht="15" hidden="1">
      <c r="A194" s="95" t="s">
        <v>128</v>
      </c>
      <c r="B194" s="89"/>
      <c r="C194" s="93" t="s">
        <v>129</v>
      </c>
      <c r="D194" s="94">
        <v>144.12198</v>
      </c>
    </row>
    <row r="195" spans="1:4" ht="15" hidden="1">
      <c r="A195" s="95" t="s">
        <v>130</v>
      </c>
      <c r="B195" s="89"/>
      <c r="C195" s="93" t="s">
        <v>129</v>
      </c>
      <c r="D195" s="94">
        <v>4.39101</v>
      </c>
    </row>
    <row r="196" spans="1:4" ht="15" hidden="1">
      <c r="A196" s="97" t="s">
        <v>131</v>
      </c>
      <c r="B196" s="98"/>
      <c r="C196" s="99" t="s">
        <v>132</v>
      </c>
      <c r="D196" s="100">
        <f>D197+D199+D198</f>
        <v>1544.361794871795</v>
      </c>
    </row>
    <row r="197" spans="1:4" ht="15" hidden="1">
      <c r="A197" s="95" t="s">
        <v>133</v>
      </c>
      <c r="B197" s="101"/>
      <c r="C197" s="93" t="s">
        <v>134</v>
      </c>
      <c r="D197" s="102">
        <f>D194/D192*1000</f>
        <v>1231.811794871795</v>
      </c>
    </row>
    <row r="198" spans="1:4" ht="15" hidden="1">
      <c r="A198" s="103" t="s">
        <v>135</v>
      </c>
      <c r="B198" s="104"/>
      <c r="C198" s="93" t="s">
        <v>134</v>
      </c>
      <c r="D198" s="102">
        <f>D195/D192*1000</f>
        <v>37.529999999999994</v>
      </c>
    </row>
    <row r="199" spans="1:4" ht="15" hidden="1">
      <c r="A199" s="103" t="s">
        <v>136</v>
      </c>
      <c r="B199" s="105"/>
      <c r="C199" s="87" t="s">
        <v>134</v>
      </c>
      <c r="D199" s="106">
        <v>275.02</v>
      </c>
    </row>
    <row r="200" spans="1:4" ht="15" hidden="1">
      <c r="A200" s="88" t="s">
        <v>216</v>
      </c>
      <c r="B200" s="107"/>
      <c r="C200" s="93"/>
      <c r="D200" s="108"/>
    </row>
    <row r="201" spans="1:4" ht="15" hidden="1">
      <c r="A201" s="92" t="s">
        <v>226</v>
      </c>
      <c r="B201" s="107"/>
      <c r="C201" s="93" t="s">
        <v>221</v>
      </c>
      <c r="D201" s="109"/>
    </row>
    <row r="202" spans="1:4" ht="15" hidden="1">
      <c r="A202" s="95" t="s">
        <v>126</v>
      </c>
      <c r="B202" s="110"/>
      <c r="C202" s="93" t="s">
        <v>138</v>
      </c>
      <c r="D202" s="111"/>
    </row>
    <row r="203" spans="1:4" ht="15" hidden="1">
      <c r="A203" s="95" t="s">
        <v>139</v>
      </c>
      <c r="B203" s="107"/>
      <c r="C203" s="93" t="s">
        <v>140</v>
      </c>
      <c r="D203" s="109">
        <f>D201*0.75*D202/10000</f>
        <v>0</v>
      </c>
    </row>
    <row r="204" spans="1:4" ht="15" hidden="1">
      <c r="A204" s="95" t="s">
        <v>227</v>
      </c>
      <c r="B204" s="107"/>
      <c r="C204" s="93" t="s">
        <v>129</v>
      </c>
      <c r="D204" s="109"/>
    </row>
    <row r="205" spans="1:4" ht="15" hidden="1">
      <c r="A205" s="112" t="s">
        <v>228</v>
      </c>
      <c r="B205" s="101"/>
      <c r="C205" s="90" t="s">
        <v>142</v>
      </c>
      <c r="D205" s="113"/>
    </row>
    <row r="206" spans="1:4" ht="15" hidden="1">
      <c r="A206" s="88" t="s">
        <v>144</v>
      </c>
      <c r="B206" s="89"/>
      <c r="C206" s="114"/>
      <c r="D206" s="115"/>
    </row>
    <row r="207" spans="1:4" ht="15" hidden="1">
      <c r="A207" s="92" t="s">
        <v>145</v>
      </c>
      <c r="B207" s="107"/>
      <c r="C207" s="93" t="s">
        <v>143</v>
      </c>
      <c r="D207" s="109"/>
    </row>
    <row r="208" spans="1:4" ht="15" hidden="1">
      <c r="A208" s="92" t="s">
        <v>219</v>
      </c>
      <c r="B208" s="107"/>
      <c r="C208" s="93" t="s">
        <v>220</v>
      </c>
      <c r="D208" s="109"/>
    </row>
    <row r="209" spans="1:6" ht="15" hidden="1">
      <c r="A209" s="92" t="s">
        <v>162</v>
      </c>
      <c r="B209" s="107"/>
      <c r="C209" s="93" t="s">
        <v>221</v>
      </c>
      <c r="D209" s="109"/>
      <c r="E209" s="239"/>
      <c r="F209" s="239"/>
    </row>
    <row r="210" spans="1:6" ht="15" hidden="1">
      <c r="A210" s="95" t="s">
        <v>126</v>
      </c>
      <c r="B210" s="107"/>
      <c r="C210" s="93" t="s">
        <v>138</v>
      </c>
      <c r="D210" s="116"/>
      <c r="E210" s="239"/>
      <c r="F210" s="239"/>
    </row>
    <row r="211" spans="1:6" ht="15" hidden="1">
      <c r="A211" s="229" t="s">
        <v>139</v>
      </c>
      <c r="B211" s="230"/>
      <c r="C211" s="231" t="s">
        <v>140</v>
      </c>
      <c r="D211" s="232">
        <f>D209*D210/10000</f>
        <v>0</v>
      </c>
      <c r="E211" s="239"/>
      <c r="F211" s="239"/>
    </row>
    <row r="212" spans="1:6" ht="15" hidden="1">
      <c r="A212" s="234" t="s">
        <v>146</v>
      </c>
      <c r="B212" s="235"/>
      <c r="C212" s="236" t="s">
        <v>129</v>
      </c>
      <c r="D212" s="238"/>
      <c r="E212" s="239"/>
      <c r="F212" s="239"/>
    </row>
    <row r="213" spans="1:6" ht="15" hidden="1">
      <c r="A213" s="95" t="s">
        <v>147</v>
      </c>
      <c r="B213" s="107"/>
      <c r="C213" s="93" t="s">
        <v>142</v>
      </c>
      <c r="D213" s="117"/>
      <c r="E213" s="239"/>
      <c r="F213" s="239"/>
    </row>
    <row r="214" spans="1:6" ht="15" hidden="1">
      <c r="A214" s="95" t="s">
        <v>148</v>
      </c>
      <c r="B214" s="107"/>
      <c r="C214" s="93" t="s">
        <v>129</v>
      </c>
      <c r="D214" s="109">
        <v>0</v>
      </c>
      <c r="E214" s="239"/>
      <c r="F214" s="239"/>
    </row>
    <row r="215" spans="1:6" ht="15" hidden="1">
      <c r="A215" s="95" t="s">
        <v>149</v>
      </c>
      <c r="B215" s="107"/>
      <c r="C215" s="93" t="s">
        <v>129</v>
      </c>
      <c r="D215" s="109">
        <v>0</v>
      </c>
      <c r="E215" s="239"/>
      <c r="F215" s="239"/>
    </row>
    <row r="216" spans="1:6" ht="15" hidden="1">
      <c r="A216" s="112" t="s">
        <v>150</v>
      </c>
      <c r="B216" s="101"/>
      <c r="C216" s="90" t="s">
        <v>142</v>
      </c>
      <c r="D216" s="113"/>
      <c r="E216" s="239"/>
      <c r="F216" s="239"/>
    </row>
    <row r="217" spans="1:6" ht="15" hidden="1">
      <c r="A217" s="88" t="s">
        <v>151</v>
      </c>
      <c r="B217" s="101"/>
      <c r="C217" s="90"/>
      <c r="D217" s="118"/>
      <c r="E217" s="239"/>
      <c r="F217" s="239"/>
    </row>
    <row r="218" spans="1:6" ht="15" hidden="1">
      <c r="A218" s="92" t="s">
        <v>152</v>
      </c>
      <c r="B218" s="107"/>
      <c r="C218" s="93" t="s">
        <v>143</v>
      </c>
      <c r="D218" s="108"/>
      <c r="E218" s="239"/>
      <c r="F218" s="239"/>
    </row>
    <row r="219" spans="1:6" ht="15" hidden="1">
      <c r="A219" s="92" t="s">
        <v>219</v>
      </c>
      <c r="B219" s="107"/>
      <c r="C219" s="93" t="s">
        <v>220</v>
      </c>
      <c r="D219" s="111"/>
      <c r="E219" s="239"/>
      <c r="F219" s="239"/>
    </row>
    <row r="220" spans="1:6" ht="15" hidden="1">
      <c r="A220" s="92" t="s">
        <v>162</v>
      </c>
      <c r="B220" s="107"/>
      <c r="C220" s="93" t="s">
        <v>221</v>
      </c>
      <c r="D220" s="109"/>
      <c r="E220" s="239"/>
      <c r="F220" s="239"/>
    </row>
    <row r="221" spans="1:6" ht="15" hidden="1">
      <c r="A221" s="95" t="s">
        <v>126</v>
      </c>
      <c r="B221" s="107"/>
      <c r="C221" s="93" t="s">
        <v>138</v>
      </c>
      <c r="D221" s="116"/>
      <c r="E221" s="239"/>
      <c r="F221" s="239"/>
    </row>
    <row r="222" spans="1:6" ht="15" hidden="1">
      <c r="A222" s="229" t="s">
        <v>139</v>
      </c>
      <c r="B222" s="230"/>
      <c r="C222" s="231" t="s">
        <v>140</v>
      </c>
      <c r="D222" s="232">
        <f>D220*D221/10000</f>
        <v>0</v>
      </c>
      <c r="E222" s="239"/>
      <c r="F222" s="239"/>
    </row>
    <row r="223" spans="1:6" ht="15" hidden="1">
      <c r="A223" s="95" t="s">
        <v>153</v>
      </c>
      <c r="B223" s="107"/>
      <c r="C223" s="93" t="s">
        <v>129</v>
      </c>
      <c r="D223" s="109"/>
      <c r="E223" s="239"/>
      <c r="F223" s="239"/>
    </row>
    <row r="224" spans="1:6" ht="15" hidden="1">
      <c r="A224" s="95" t="s">
        <v>148</v>
      </c>
      <c r="B224" s="107"/>
      <c r="C224" s="93" t="s">
        <v>129</v>
      </c>
      <c r="D224" s="109"/>
      <c r="E224" s="239"/>
      <c r="F224" s="239"/>
    </row>
    <row r="225" spans="1:6" ht="15" hidden="1">
      <c r="A225" s="234" t="s">
        <v>222</v>
      </c>
      <c r="B225" s="235"/>
      <c r="C225" s="236" t="s">
        <v>129</v>
      </c>
      <c r="D225" s="238"/>
      <c r="E225" s="239"/>
      <c r="F225" s="239"/>
    </row>
    <row r="226" spans="1:6" ht="15" hidden="1">
      <c r="A226" s="95" t="s">
        <v>154</v>
      </c>
      <c r="B226" s="107"/>
      <c r="C226" s="93" t="s">
        <v>142</v>
      </c>
      <c r="D226" s="113"/>
      <c r="E226" s="239"/>
      <c r="F226" s="239"/>
    </row>
    <row r="227" spans="1:6" ht="15" hidden="1">
      <c r="A227" s="88" t="s">
        <v>155</v>
      </c>
      <c r="B227" s="107"/>
      <c r="C227" s="93"/>
      <c r="D227" s="117"/>
      <c r="E227" s="239"/>
      <c r="F227" s="239"/>
    </row>
    <row r="228" spans="1:6" ht="15" hidden="1">
      <c r="A228" s="92" t="s">
        <v>156</v>
      </c>
      <c r="B228" s="107"/>
      <c r="C228" s="93" t="s">
        <v>143</v>
      </c>
      <c r="D228" s="109"/>
      <c r="E228" s="239"/>
      <c r="F228" s="239"/>
    </row>
    <row r="229" spans="1:6" ht="15" hidden="1">
      <c r="A229" s="95" t="s">
        <v>126</v>
      </c>
      <c r="B229" s="107"/>
      <c r="C229" s="93" t="s">
        <v>138</v>
      </c>
      <c r="D229" s="116"/>
      <c r="E229" s="239"/>
      <c r="F229" s="239"/>
    </row>
    <row r="230" spans="1:6" ht="15" hidden="1">
      <c r="A230" s="95" t="s">
        <v>139</v>
      </c>
      <c r="B230" s="107"/>
      <c r="C230" s="93" t="s">
        <v>140</v>
      </c>
      <c r="D230" s="109"/>
      <c r="E230" s="239"/>
      <c r="F230" s="239"/>
    </row>
    <row r="231" spans="1:6" ht="15" hidden="1">
      <c r="A231" s="95" t="s">
        <v>157</v>
      </c>
      <c r="B231" s="107"/>
      <c r="C231" s="93" t="s">
        <v>129</v>
      </c>
      <c r="D231" s="109"/>
      <c r="E231" s="239"/>
      <c r="F231" s="239"/>
    </row>
    <row r="232" spans="1:6" ht="15" hidden="1">
      <c r="A232" s="95" t="s">
        <v>158</v>
      </c>
      <c r="B232" s="107"/>
      <c r="C232" s="93" t="s">
        <v>142</v>
      </c>
      <c r="D232" s="113"/>
      <c r="E232" s="239"/>
      <c r="F232" s="239"/>
    </row>
    <row r="233" spans="1:6" ht="15" hidden="1">
      <c r="A233" s="119" t="s">
        <v>159</v>
      </c>
      <c r="B233" s="120"/>
      <c r="C233" s="121" t="s">
        <v>142</v>
      </c>
      <c r="D233" s="122"/>
      <c r="E233" s="239"/>
      <c r="F233" s="239"/>
    </row>
    <row r="234" spans="1:6" ht="15" hidden="1">
      <c r="A234" s="119" t="s">
        <v>160</v>
      </c>
      <c r="B234" s="120"/>
      <c r="C234" s="121" t="s">
        <v>142</v>
      </c>
      <c r="D234" s="122"/>
      <c r="E234" s="239"/>
      <c r="F234" s="239"/>
    </row>
    <row r="235" spans="1:6" ht="15" hidden="1">
      <c r="A235" s="88" t="s">
        <v>161</v>
      </c>
      <c r="B235" s="89"/>
      <c r="C235" s="123"/>
      <c r="D235" s="124"/>
      <c r="E235" s="239"/>
      <c r="F235" s="239"/>
    </row>
    <row r="236" spans="1:6" ht="15" hidden="1">
      <c r="A236" s="95" t="s">
        <v>162</v>
      </c>
      <c r="B236" s="89"/>
      <c r="C236" s="93" t="s">
        <v>98</v>
      </c>
      <c r="D236" s="125"/>
      <c r="E236" s="239"/>
      <c r="F236" s="239"/>
    </row>
    <row r="237" spans="1:6" ht="15" hidden="1">
      <c r="A237" s="95" t="s">
        <v>163</v>
      </c>
      <c r="B237" s="89"/>
      <c r="C237" s="93" t="s">
        <v>129</v>
      </c>
      <c r="D237" s="125"/>
      <c r="E237" s="239"/>
      <c r="F237" s="239"/>
    </row>
    <row r="238" spans="1:6" ht="15" hidden="1">
      <c r="A238" s="126" t="s">
        <v>164</v>
      </c>
      <c r="B238" s="127"/>
      <c r="C238" s="128" t="s">
        <v>59</v>
      </c>
      <c r="D238" s="129"/>
      <c r="E238" s="239"/>
      <c r="F238" s="239"/>
    </row>
    <row r="239" spans="1:6" ht="15" hidden="1">
      <c r="A239" s="92" t="s">
        <v>165</v>
      </c>
      <c r="B239" s="107"/>
      <c r="C239" s="93" t="s">
        <v>137</v>
      </c>
      <c r="D239" s="94"/>
      <c r="E239" s="239"/>
      <c r="F239" s="239"/>
    </row>
    <row r="240" spans="1:6" ht="15" hidden="1">
      <c r="A240" s="95" t="s">
        <v>126</v>
      </c>
      <c r="B240" s="107"/>
      <c r="C240" s="93" t="s">
        <v>138</v>
      </c>
      <c r="D240" s="124"/>
      <c r="E240" s="239"/>
      <c r="F240" s="239"/>
    </row>
    <row r="241" spans="1:6" ht="15" hidden="1">
      <c r="A241" s="95" t="s">
        <v>139</v>
      </c>
      <c r="B241" s="107"/>
      <c r="C241" s="93" t="s">
        <v>140</v>
      </c>
      <c r="D241" s="94">
        <f>D239*D240/10000</f>
        <v>0</v>
      </c>
      <c r="E241" s="239"/>
      <c r="F241" s="239"/>
    </row>
    <row r="242" spans="1:6" ht="15" hidden="1">
      <c r="A242" s="95" t="s">
        <v>141</v>
      </c>
      <c r="B242" s="107"/>
      <c r="C242" s="93" t="s">
        <v>129</v>
      </c>
      <c r="D242" s="94"/>
      <c r="E242" s="239"/>
      <c r="F242" s="239"/>
    </row>
    <row r="243" spans="1:6" ht="15" hidden="1">
      <c r="A243" s="95" t="s">
        <v>166</v>
      </c>
      <c r="B243" s="107"/>
      <c r="C243" s="93" t="s">
        <v>142</v>
      </c>
      <c r="D243" s="102"/>
      <c r="E243" s="239"/>
      <c r="F243" s="239"/>
    </row>
    <row r="244" spans="5:6" ht="15" hidden="1">
      <c r="E244" s="239"/>
      <c r="F244" s="239"/>
    </row>
    <row r="245" spans="1:4" ht="15" hidden="1">
      <c r="A245" t="s">
        <v>189</v>
      </c>
      <c r="D245" s="194" t="s">
        <v>190</v>
      </c>
    </row>
    <row r="246" ht="15" hidden="1"/>
    <row r="247" ht="15" hidden="1">
      <c r="D247" s="194"/>
    </row>
    <row r="248" ht="15" hidden="1"/>
    <row r="249" ht="15" hidden="1"/>
    <row r="250" ht="15" hidden="1"/>
    <row r="251" spans="1:5" ht="15" hidden="1">
      <c r="A251" s="491" t="s">
        <v>223</v>
      </c>
      <c r="B251" s="491"/>
      <c r="C251" s="491"/>
      <c r="D251" s="491"/>
      <c r="E251" s="491"/>
    </row>
    <row r="252" spans="1:5" ht="15" hidden="1">
      <c r="A252" s="490" t="s">
        <v>224</v>
      </c>
      <c r="B252" s="490"/>
      <c r="C252" s="490"/>
      <c r="D252" s="490"/>
      <c r="E252" s="490"/>
    </row>
    <row r="253" spans="1:5" ht="15" hidden="1">
      <c r="A253" s="279"/>
      <c r="B253" s="279"/>
      <c r="C253" s="279"/>
      <c r="D253" s="279"/>
      <c r="E253" s="279"/>
    </row>
    <row r="254" spans="2:5" ht="15.75" hidden="1">
      <c r="B254" s="489" t="s">
        <v>245</v>
      </c>
      <c r="C254" s="489"/>
      <c r="D254" s="489"/>
      <c r="E254" s="489"/>
    </row>
    <row r="255" spans="2:5" ht="15.75" hidden="1">
      <c r="B255" s="280"/>
      <c r="C255" s="280"/>
      <c r="D255" s="280"/>
      <c r="E255" s="280"/>
    </row>
    <row r="256" spans="1:4" ht="15" hidden="1">
      <c r="A256" s="85"/>
      <c r="B256" s="86"/>
      <c r="C256" s="87" t="s">
        <v>122</v>
      </c>
      <c r="D256" s="87" t="s">
        <v>123</v>
      </c>
    </row>
    <row r="257" spans="1:4" ht="15" hidden="1">
      <c r="A257" s="88" t="s">
        <v>24</v>
      </c>
      <c r="B257" s="89"/>
      <c r="C257" s="90"/>
      <c r="D257" s="91"/>
    </row>
    <row r="258" spans="1:4" ht="15" hidden="1">
      <c r="A258" s="92" t="s">
        <v>124</v>
      </c>
      <c r="B258" s="89"/>
      <c r="C258" s="93" t="s">
        <v>125</v>
      </c>
      <c r="D258" s="94">
        <v>339</v>
      </c>
    </row>
    <row r="259" spans="1:4" ht="15" hidden="1">
      <c r="A259" s="95" t="s">
        <v>126</v>
      </c>
      <c r="B259" s="89"/>
      <c r="C259" s="93" t="s">
        <v>127</v>
      </c>
      <c r="D259" s="96">
        <v>8056</v>
      </c>
    </row>
    <row r="260" spans="1:4" ht="15" hidden="1">
      <c r="A260" s="95" t="s">
        <v>128</v>
      </c>
      <c r="B260" s="89"/>
      <c r="C260" s="93" t="s">
        <v>129</v>
      </c>
      <c r="D260" s="94">
        <v>411.4379</v>
      </c>
    </row>
    <row r="261" spans="1:4" ht="15" hidden="1">
      <c r="A261" s="95" t="s">
        <v>130</v>
      </c>
      <c r="B261" s="89"/>
      <c r="C261" s="93" t="s">
        <v>129</v>
      </c>
      <c r="D261" s="94">
        <v>12.72267</v>
      </c>
    </row>
    <row r="262" spans="1:4" ht="15" hidden="1">
      <c r="A262" s="97" t="s">
        <v>131</v>
      </c>
      <c r="B262" s="98"/>
      <c r="C262" s="99" t="s">
        <v>132</v>
      </c>
      <c r="D262" s="100">
        <f>D263+D265+D264</f>
        <v>1526.2311209439529</v>
      </c>
    </row>
    <row r="263" spans="1:4" ht="15" hidden="1">
      <c r="A263" s="95" t="s">
        <v>133</v>
      </c>
      <c r="B263" s="101"/>
      <c r="C263" s="93" t="s">
        <v>134</v>
      </c>
      <c r="D263" s="102">
        <f>D260/D258*1000</f>
        <v>1213.681120943953</v>
      </c>
    </row>
    <row r="264" spans="1:4" ht="15" hidden="1">
      <c r="A264" s="103" t="s">
        <v>135</v>
      </c>
      <c r="B264" s="104"/>
      <c r="C264" s="93" t="s">
        <v>134</v>
      </c>
      <c r="D264" s="102">
        <f>D261/D258*1000</f>
        <v>37.53</v>
      </c>
    </row>
    <row r="265" spans="1:4" ht="15" hidden="1">
      <c r="A265" s="103" t="s">
        <v>136</v>
      </c>
      <c r="B265" s="105"/>
      <c r="C265" s="87" t="s">
        <v>134</v>
      </c>
      <c r="D265" s="106">
        <v>275.02</v>
      </c>
    </row>
    <row r="266" spans="1:4" ht="15" hidden="1">
      <c r="A266" s="88" t="s">
        <v>216</v>
      </c>
      <c r="B266" s="107"/>
      <c r="C266" s="93"/>
      <c r="D266" s="108"/>
    </row>
    <row r="267" spans="1:4" ht="15" hidden="1">
      <c r="A267" s="92" t="s">
        <v>226</v>
      </c>
      <c r="B267" s="107"/>
      <c r="C267" s="93" t="s">
        <v>221</v>
      </c>
      <c r="D267" s="109">
        <v>148.8</v>
      </c>
    </row>
    <row r="268" spans="1:4" ht="15" hidden="1">
      <c r="A268" s="95" t="s">
        <v>126</v>
      </c>
      <c r="B268" s="110"/>
      <c r="C268" s="93" t="s">
        <v>138</v>
      </c>
      <c r="D268" s="111">
        <v>5623</v>
      </c>
    </row>
    <row r="269" spans="1:4" ht="15" hidden="1">
      <c r="A269" s="95" t="s">
        <v>139</v>
      </c>
      <c r="B269" s="107"/>
      <c r="C269" s="93" t="s">
        <v>140</v>
      </c>
      <c r="D269" s="109">
        <f>D267*D268/10000</f>
        <v>83.67024</v>
      </c>
    </row>
    <row r="270" spans="1:4" ht="15" hidden="1">
      <c r="A270" s="95" t="s">
        <v>227</v>
      </c>
      <c r="B270" s="107"/>
      <c r="C270" s="93" t="s">
        <v>129</v>
      </c>
      <c r="D270" s="109">
        <v>67.63704</v>
      </c>
    </row>
    <row r="271" spans="1:4" ht="15" hidden="1">
      <c r="A271" s="283" t="s">
        <v>228</v>
      </c>
      <c r="B271" s="284"/>
      <c r="C271" s="285" t="s">
        <v>142</v>
      </c>
      <c r="D271" s="286">
        <f>D270/D269*1000</f>
        <v>808.3763115774498</v>
      </c>
    </row>
    <row r="272" spans="1:4" ht="15" hidden="1">
      <c r="A272" s="88" t="s">
        <v>144</v>
      </c>
      <c r="B272" s="89"/>
      <c r="C272" s="114"/>
      <c r="D272" s="115"/>
    </row>
    <row r="273" spans="1:4" ht="15" hidden="1">
      <c r="A273" s="92" t="s">
        <v>145</v>
      </c>
      <c r="B273" s="107"/>
      <c r="C273" s="93" t="s">
        <v>143</v>
      </c>
      <c r="D273" s="109"/>
    </row>
    <row r="274" spans="1:4" ht="15" hidden="1">
      <c r="A274" s="92" t="s">
        <v>219</v>
      </c>
      <c r="B274" s="107"/>
      <c r="C274" s="93" t="s">
        <v>220</v>
      </c>
      <c r="D274" s="109"/>
    </row>
    <row r="275" spans="1:5" ht="15" hidden="1">
      <c r="A275" s="92" t="s">
        <v>162</v>
      </c>
      <c r="B275" s="107"/>
      <c r="C275" s="93" t="s">
        <v>221</v>
      </c>
      <c r="D275" s="109"/>
      <c r="E275" s="239"/>
    </row>
    <row r="276" spans="1:5" ht="15" hidden="1">
      <c r="A276" s="95" t="s">
        <v>126</v>
      </c>
      <c r="B276" s="107"/>
      <c r="C276" s="93" t="s">
        <v>138</v>
      </c>
      <c r="D276" s="116"/>
      <c r="E276" s="239"/>
    </row>
    <row r="277" spans="1:5" ht="15" hidden="1">
      <c r="A277" s="229" t="s">
        <v>139</v>
      </c>
      <c r="B277" s="230"/>
      <c r="C277" s="231" t="s">
        <v>140</v>
      </c>
      <c r="D277" s="232">
        <f>D275*D276/10000</f>
        <v>0</v>
      </c>
      <c r="E277" s="239"/>
    </row>
    <row r="278" spans="1:5" ht="15" hidden="1">
      <c r="A278" s="234" t="s">
        <v>146</v>
      </c>
      <c r="B278" s="235"/>
      <c r="C278" s="236" t="s">
        <v>129</v>
      </c>
      <c r="D278" s="238"/>
      <c r="E278" s="239"/>
    </row>
    <row r="279" spans="1:5" ht="15" hidden="1">
      <c r="A279" s="95" t="s">
        <v>147</v>
      </c>
      <c r="B279" s="107"/>
      <c r="C279" s="93" t="s">
        <v>142</v>
      </c>
      <c r="D279" s="117"/>
      <c r="E279" s="239"/>
    </row>
    <row r="280" spans="1:5" ht="15" hidden="1">
      <c r="A280" s="95" t="s">
        <v>148</v>
      </c>
      <c r="B280" s="107"/>
      <c r="C280" s="93" t="s">
        <v>129</v>
      </c>
      <c r="D280" s="109">
        <v>0</v>
      </c>
      <c r="E280" s="239"/>
    </row>
    <row r="281" spans="1:5" ht="15" hidden="1">
      <c r="A281" s="95" t="s">
        <v>149</v>
      </c>
      <c r="B281" s="107"/>
      <c r="C281" s="93" t="s">
        <v>129</v>
      </c>
      <c r="D281" s="109">
        <v>0</v>
      </c>
      <c r="E281" s="239"/>
    </row>
    <row r="282" spans="1:5" ht="15" hidden="1">
      <c r="A282" s="112" t="s">
        <v>150</v>
      </c>
      <c r="B282" s="101"/>
      <c r="C282" s="90" t="s">
        <v>142</v>
      </c>
      <c r="D282" s="113"/>
      <c r="E282" s="239"/>
    </row>
    <row r="283" spans="1:5" ht="15" hidden="1">
      <c r="A283" s="88" t="s">
        <v>151</v>
      </c>
      <c r="B283" s="101"/>
      <c r="C283" s="90"/>
      <c r="D283" s="118"/>
      <c r="E283" s="239"/>
    </row>
    <row r="284" spans="1:5" ht="15" hidden="1">
      <c r="A284" s="92" t="s">
        <v>152</v>
      </c>
      <c r="B284" s="107"/>
      <c r="C284" s="93" t="s">
        <v>143</v>
      </c>
      <c r="D284" s="108">
        <v>83.44</v>
      </c>
      <c r="E284" s="239"/>
    </row>
    <row r="285" spans="1:5" ht="15" hidden="1">
      <c r="A285" s="92" t="s">
        <v>219</v>
      </c>
      <c r="B285" s="107"/>
      <c r="C285" s="93" t="s">
        <v>220</v>
      </c>
      <c r="D285" s="111">
        <v>750</v>
      </c>
      <c r="E285" s="239"/>
    </row>
    <row r="286" spans="1:5" ht="15" hidden="1">
      <c r="A286" s="92" t="s">
        <v>162</v>
      </c>
      <c r="B286" s="107"/>
      <c r="C286" s="93" t="s">
        <v>221</v>
      </c>
      <c r="D286" s="109">
        <f>D284*D285/1000</f>
        <v>62.58</v>
      </c>
      <c r="E286" s="239"/>
    </row>
    <row r="287" spans="1:5" ht="15" hidden="1">
      <c r="A287" s="95" t="s">
        <v>126</v>
      </c>
      <c r="B287" s="107"/>
      <c r="C287" s="93" t="s">
        <v>138</v>
      </c>
      <c r="D287" s="116">
        <v>3293</v>
      </c>
      <c r="E287" s="239"/>
    </row>
    <row r="288" spans="1:5" ht="15" hidden="1">
      <c r="A288" s="229" t="s">
        <v>139</v>
      </c>
      <c r="B288" s="230"/>
      <c r="C288" s="231" t="s">
        <v>140</v>
      </c>
      <c r="D288" s="232">
        <v>20.608</v>
      </c>
      <c r="E288" s="239"/>
    </row>
    <row r="289" spans="1:5" ht="15" hidden="1">
      <c r="A289" s="95" t="s">
        <v>153</v>
      </c>
      <c r="B289" s="107"/>
      <c r="C289" s="93" t="s">
        <v>129</v>
      </c>
      <c r="D289" s="310">
        <v>5.17328</v>
      </c>
      <c r="E289" s="239"/>
    </row>
    <row r="290" spans="1:5" ht="15" hidden="1">
      <c r="A290" s="95" t="s">
        <v>148</v>
      </c>
      <c r="B290" s="107"/>
      <c r="C290" s="93" t="s">
        <v>129</v>
      </c>
      <c r="D290" s="310">
        <v>1.00128</v>
      </c>
      <c r="E290" s="239"/>
    </row>
    <row r="291" spans="1:5" ht="15" hidden="1">
      <c r="A291" s="287" t="s">
        <v>222</v>
      </c>
      <c r="B291" s="288"/>
      <c r="C291" s="289" t="s">
        <v>129</v>
      </c>
      <c r="D291" s="311">
        <f>SUM(D289:D290)</f>
        <v>6.17456</v>
      </c>
      <c r="E291" s="239"/>
    </row>
    <row r="292" spans="1:5" ht="15" hidden="1">
      <c r="A292" s="290" t="s">
        <v>154</v>
      </c>
      <c r="B292" s="291"/>
      <c r="C292" s="292" t="s">
        <v>142</v>
      </c>
      <c r="D292" s="282">
        <f>D291*1000/D288</f>
        <v>299.61956521739125</v>
      </c>
      <c r="E292" s="239"/>
    </row>
    <row r="293" spans="1:5" ht="15" hidden="1">
      <c r="A293" s="88" t="s">
        <v>246</v>
      </c>
      <c r="B293" s="107"/>
      <c r="C293" s="93"/>
      <c r="D293" s="117"/>
      <c r="E293" s="239"/>
    </row>
    <row r="294" spans="1:5" ht="15" hidden="1">
      <c r="A294" s="92" t="s">
        <v>247</v>
      </c>
      <c r="B294" s="107"/>
      <c r="C294" s="93" t="s">
        <v>221</v>
      </c>
      <c r="D294" s="109">
        <v>6.93</v>
      </c>
      <c r="E294" s="239"/>
    </row>
    <row r="295" spans="1:5" ht="15" hidden="1">
      <c r="A295" s="95" t="s">
        <v>126</v>
      </c>
      <c r="B295" s="107"/>
      <c r="C295" s="93" t="s">
        <v>138</v>
      </c>
      <c r="D295" s="116">
        <v>4507</v>
      </c>
      <c r="E295" s="239"/>
    </row>
    <row r="296" spans="1:5" ht="15" hidden="1">
      <c r="A296" s="95" t="s">
        <v>139</v>
      </c>
      <c r="B296" s="107"/>
      <c r="C296" s="93" t="s">
        <v>140</v>
      </c>
      <c r="D296" s="109">
        <f>D294*D295/10000</f>
        <v>3.123351</v>
      </c>
      <c r="E296" s="239"/>
    </row>
    <row r="297" spans="1:13" ht="15" hidden="1">
      <c r="A297" s="95" t="s">
        <v>248</v>
      </c>
      <c r="B297" s="107"/>
      <c r="C297" s="93" t="s">
        <v>129</v>
      </c>
      <c r="D297" s="109">
        <f>4.2273</f>
        <v>4.2273</v>
      </c>
      <c r="E297" s="239"/>
      <c r="F297" s="239"/>
      <c r="G297" s="239"/>
      <c r="H297" s="239"/>
      <c r="I297" s="239"/>
      <c r="J297" s="239"/>
      <c r="K297" s="239"/>
      <c r="L297" s="239"/>
      <c r="M297" s="239"/>
    </row>
    <row r="298" spans="1:13" s="297" customFormat="1" ht="15" hidden="1">
      <c r="A298" s="293" t="s">
        <v>158</v>
      </c>
      <c r="B298" s="294"/>
      <c r="C298" s="295" t="s">
        <v>142</v>
      </c>
      <c r="D298" s="296">
        <f>D297*1000/D296</f>
        <v>1353.4501885955178</v>
      </c>
      <c r="E298" s="239"/>
      <c r="F298" s="239"/>
      <c r="G298" s="239"/>
      <c r="H298" s="239"/>
      <c r="I298" s="239"/>
      <c r="J298" s="239"/>
      <c r="K298" s="239"/>
      <c r="L298" s="239"/>
      <c r="M298" s="239"/>
    </row>
    <row r="299" spans="1:5" ht="15" hidden="1">
      <c r="A299" s="119" t="s">
        <v>159</v>
      </c>
      <c r="B299" s="120"/>
      <c r="C299" s="121" t="s">
        <v>142</v>
      </c>
      <c r="D299" s="122"/>
      <c r="E299" s="239"/>
    </row>
    <row r="300" spans="1:5" ht="15" hidden="1">
      <c r="A300" s="119" t="s">
        <v>160</v>
      </c>
      <c r="B300" s="120"/>
      <c r="C300" s="121" t="s">
        <v>142</v>
      </c>
      <c r="D300" s="122"/>
      <c r="E300" s="239"/>
    </row>
    <row r="301" spans="1:5" ht="15" hidden="1">
      <c r="A301" s="88" t="s">
        <v>161</v>
      </c>
      <c r="B301" s="89"/>
      <c r="C301" s="123"/>
      <c r="D301" s="124"/>
      <c r="E301" s="239"/>
    </row>
    <row r="302" spans="1:5" ht="15" hidden="1">
      <c r="A302" s="95" t="s">
        <v>162</v>
      </c>
      <c r="B302" s="89"/>
      <c r="C302" s="93" t="s">
        <v>98</v>
      </c>
      <c r="D302" s="125"/>
      <c r="E302" s="239"/>
    </row>
    <row r="303" spans="1:5" ht="15" hidden="1">
      <c r="A303" s="95" t="s">
        <v>163</v>
      </c>
      <c r="B303" s="89"/>
      <c r="C303" s="93" t="s">
        <v>129</v>
      </c>
      <c r="D303" s="125"/>
      <c r="E303" s="239"/>
    </row>
    <row r="304" spans="1:5" ht="15" hidden="1">
      <c r="A304" s="126" t="s">
        <v>164</v>
      </c>
      <c r="B304" s="127"/>
      <c r="C304" s="128" t="s">
        <v>59</v>
      </c>
      <c r="D304" s="129"/>
      <c r="E304" s="239"/>
    </row>
    <row r="305" spans="1:5" ht="15" hidden="1">
      <c r="A305" s="92" t="s">
        <v>165</v>
      </c>
      <c r="B305" s="107"/>
      <c r="C305" s="93" t="s">
        <v>137</v>
      </c>
      <c r="D305" s="94"/>
      <c r="E305" s="239"/>
    </row>
    <row r="306" spans="1:5" ht="15" hidden="1">
      <c r="A306" s="95" t="s">
        <v>126</v>
      </c>
      <c r="B306" s="107"/>
      <c r="C306" s="93" t="s">
        <v>138</v>
      </c>
      <c r="D306" s="124"/>
      <c r="E306" s="239"/>
    </row>
    <row r="307" spans="1:5" ht="15" hidden="1">
      <c r="A307" s="95" t="s">
        <v>139</v>
      </c>
      <c r="B307" s="107"/>
      <c r="C307" s="93" t="s">
        <v>140</v>
      </c>
      <c r="D307" s="94">
        <f>D305*D306/10000</f>
        <v>0</v>
      </c>
      <c r="E307" s="239"/>
    </row>
    <row r="308" spans="1:5" ht="15" hidden="1">
      <c r="A308" s="95" t="s">
        <v>141</v>
      </c>
      <c r="B308" s="107"/>
      <c r="C308" s="93" t="s">
        <v>129</v>
      </c>
      <c r="D308" s="94"/>
      <c r="E308" s="239"/>
    </row>
    <row r="309" spans="1:5" ht="15" hidden="1">
      <c r="A309" s="95" t="s">
        <v>166</v>
      </c>
      <c r="B309" s="107"/>
      <c r="C309" s="93" t="s">
        <v>142</v>
      </c>
      <c r="D309" s="102"/>
      <c r="E309" s="239"/>
    </row>
    <row r="310" ht="15" hidden="1">
      <c r="E310" s="239"/>
    </row>
    <row r="311" ht="15" hidden="1"/>
    <row r="312" ht="15" hidden="1"/>
    <row r="313" ht="15" hidden="1"/>
    <row r="314" ht="15" hidden="1"/>
    <row r="315" ht="15" hidden="1"/>
    <row r="316" spans="1:4" ht="15" hidden="1">
      <c r="A316" t="s">
        <v>189</v>
      </c>
      <c r="D316" s="194" t="s">
        <v>190</v>
      </c>
    </row>
    <row r="317" ht="15" hidden="1"/>
    <row r="318" ht="15" hidden="1"/>
    <row r="319" ht="15" hidden="1"/>
    <row r="320" ht="15" hidden="1"/>
    <row r="321" ht="15" hidden="1"/>
    <row r="322" ht="15" hidden="1"/>
    <row r="323" spans="1:5" ht="15" hidden="1">
      <c r="A323" s="491" t="s">
        <v>223</v>
      </c>
      <c r="B323" s="491"/>
      <c r="C323" s="491"/>
      <c r="D323" s="491"/>
      <c r="E323" s="491"/>
    </row>
    <row r="324" spans="1:5" ht="15" hidden="1">
      <c r="A324" s="490" t="s">
        <v>224</v>
      </c>
      <c r="B324" s="490"/>
      <c r="C324" s="490"/>
      <c r="D324" s="490"/>
      <c r="E324" s="490"/>
    </row>
    <row r="325" spans="1:5" ht="15" hidden="1">
      <c r="A325" s="313"/>
      <c r="B325" s="313"/>
      <c r="C325" s="313"/>
      <c r="D325" s="313"/>
      <c r="E325" s="313"/>
    </row>
    <row r="326" spans="2:5" ht="15.75" hidden="1">
      <c r="B326" s="489" t="s">
        <v>257</v>
      </c>
      <c r="C326" s="489"/>
      <c r="D326" s="489"/>
      <c r="E326" s="489"/>
    </row>
    <row r="327" spans="2:5" ht="15.75" hidden="1">
      <c r="B327" s="312"/>
      <c r="C327" s="312"/>
      <c r="D327" s="312"/>
      <c r="E327" s="312"/>
    </row>
    <row r="328" spans="1:4" ht="15" hidden="1">
      <c r="A328" s="85"/>
      <c r="B328" s="86"/>
      <c r="C328" s="87" t="s">
        <v>122</v>
      </c>
      <c r="D328" s="87" t="s">
        <v>123</v>
      </c>
    </row>
    <row r="329" spans="1:4" ht="15" hidden="1">
      <c r="A329" s="88" t="s">
        <v>24</v>
      </c>
      <c r="B329" s="89"/>
      <c r="C329" s="90"/>
      <c r="D329" s="91"/>
    </row>
    <row r="330" spans="1:4" ht="15" hidden="1">
      <c r="A330" s="92" t="s">
        <v>124</v>
      </c>
      <c r="B330" s="89"/>
      <c r="C330" s="93" t="s">
        <v>125</v>
      </c>
      <c r="D330" s="94">
        <v>423</v>
      </c>
    </row>
    <row r="331" spans="1:4" ht="15" hidden="1">
      <c r="A331" s="95" t="s">
        <v>126</v>
      </c>
      <c r="B331" s="89"/>
      <c r="C331" s="93" t="s">
        <v>127</v>
      </c>
      <c r="D331" s="96">
        <v>8069</v>
      </c>
    </row>
    <row r="332" spans="1:4" ht="15" hidden="1">
      <c r="A332" s="95" t="s">
        <v>128</v>
      </c>
      <c r="B332" s="89"/>
      <c r="C332" s="93" t="s">
        <v>129</v>
      </c>
      <c r="D332" s="94">
        <v>519.46679</v>
      </c>
    </row>
    <row r="333" spans="1:4" ht="15" hidden="1">
      <c r="A333" s="95" t="s">
        <v>130</v>
      </c>
      <c r="B333" s="89"/>
      <c r="C333" s="93" t="s">
        <v>129</v>
      </c>
      <c r="D333" s="94">
        <v>15.87519</v>
      </c>
    </row>
    <row r="334" spans="1:4" ht="15" hidden="1">
      <c r="A334" s="97" t="s">
        <v>131</v>
      </c>
      <c r="B334" s="98"/>
      <c r="C334" s="99" t="s">
        <v>132</v>
      </c>
      <c r="D334" s="100">
        <f>D335+D337+D336</f>
        <v>1540.6038770685577</v>
      </c>
    </row>
    <row r="335" spans="1:4" ht="15" hidden="1">
      <c r="A335" s="95" t="s">
        <v>133</v>
      </c>
      <c r="B335" s="101"/>
      <c r="C335" s="93" t="s">
        <v>134</v>
      </c>
      <c r="D335" s="102">
        <f>D332/D330*1000</f>
        <v>1228.0538770685578</v>
      </c>
    </row>
    <row r="336" spans="1:4" ht="15" hidden="1">
      <c r="A336" s="103" t="s">
        <v>135</v>
      </c>
      <c r="B336" s="104"/>
      <c r="C336" s="93" t="s">
        <v>134</v>
      </c>
      <c r="D336" s="102">
        <f>D333/D330*1000</f>
        <v>37.53</v>
      </c>
    </row>
    <row r="337" spans="1:4" ht="15" hidden="1">
      <c r="A337" s="103" t="s">
        <v>136</v>
      </c>
      <c r="B337" s="105"/>
      <c r="C337" s="87" t="s">
        <v>134</v>
      </c>
      <c r="D337" s="106">
        <v>275.02</v>
      </c>
    </row>
    <row r="338" spans="1:4" ht="15" hidden="1">
      <c r="A338" s="88" t="s">
        <v>216</v>
      </c>
      <c r="B338" s="107"/>
      <c r="C338" s="93"/>
      <c r="D338" s="108"/>
    </row>
    <row r="339" spans="1:4" ht="15" hidden="1">
      <c r="A339" s="92" t="s">
        <v>226</v>
      </c>
      <c r="B339" s="107"/>
      <c r="C339" s="93" t="s">
        <v>221</v>
      </c>
      <c r="D339" s="109"/>
    </row>
    <row r="340" spans="1:4" ht="15" hidden="1">
      <c r="A340" s="95" t="s">
        <v>126</v>
      </c>
      <c r="B340" s="110"/>
      <c r="C340" s="93" t="s">
        <v>138</v>
      </c>
      <c r="D340" s="111"/>
    </row>
    <row r="341" spans="1:4" ht="15" hidden="1">
      <c r="A341" s="95" t="s">
        <v>139</v>
      </c>
      <c r="B341" s="107"/>
      <c r="C341" s="93" t="s">
        <v>140</v>
      </c>
      <c r="D341" s="109"/>
    </row>
    <row r="342" spans="1:4" ht="15" hidden="1">
      <c r="A342" s="95" t="s">
        <v>227</v>
      </c>
      <c r="B342" s="107"/>
      <c r="C342" s="93" t="s">
        <v>129</v>
      </c>
      <c r="D342" s="109"/>
    </row>
    <row r="343" spans="1:4" ht="15" hidden="1">
      <c r="A343" s="283" t="s">
        <v>228</v>
      </c>
      <c r="B343" s="284"/>
      <c r="C343" s="285" t="s">
        <v>142</v>
      </c>
      <c r="D343" s="286"/>
    </row>
    <row r="344" spans="1:4" ht="15" hidden="1">
      <c r="A344" s="88" t="s">
        <v>144</v>
      </c>
      <c r="B344" s="89"/>
      <c r="C344" s="114"/>
      <c r="D344" s="115"/>
    </row>
    <row r="345" spans="1:4" ht="15" hidden="1">
      <c r="A345" s="92" t="s">
        <v>145</v>
      </c>
      <c r="B345" s="107"/>
      <c r="C345" s="93" t="s">
        <v>143</v>
      </c>
      <c r="D345" s="109"/>
    </row>
    <row r="346" spans="1:4" ht="15" hidden="1">
      <c r="A346" s="92" t="s">
        <v>219</v>
      </c>
      <c r="B346" s="107"/>
      <c r="C346" s="93" t="s">
        <v>220</v>
      </c>
      <c r="D346" s="109"/>
    </row>
    <row r="347" spans="1:5" ht="15" hidden="1">
      <c r="A347" s="92" t="s">
        <v>162</v>
      </c>
      <c r="B347" s="107"/>
      <c r="C347" s="93" t="s">
        <v>221</v>
      </c>
      <c r="D347" s="109"/>
      <c r="E347" s="239"/>
    </row>
    <row r="348" spans="1:5" ht="15" hidden="1">
      <c r="A348" s="95" t="s">
        <v>126</v>
      </c>
      <c r="B348" s="107"/>
      <c r="C348" s="93" t="s">
        <v>138</v>
      </c>
      <c r="D348" s="116"/>
      <c r="E348" s="239"/>
    </row>
    <row r="349" spans="1:5" ht="15" hidden="1">
      <c r="A349" s="229" t="s">
        <v>139</v>
      </c>
      <c r="B349" s="230"/>
      <c r="C349" s="231" t="s">
        <v>140</v>
      </c>
      <c r="D349" s="232">
        <f>D347*D348/10000</f>
        <v>0</v>
      </c>
      <c r="E349" s="239"/>
    </row>
    <row r="350" spans="1:5" ht="15" hidden="1">
      <c r="A350" s="234" t="s">
        <v>146</v>
      </c>
      <c r="B350" s="235"/>
      <c r="C350" s="236" t="s">
        <v>129</v>
      </c>
      <c r="D350" s="238"/>
      <c r="E350" s="239"/>
    </row>
    <row r="351" spans="1:5" ht="15" hidden="1">
      <c r="A351" s="95" t="s">
        <v>147</v>
      </c>
      <c r="B351" s="107"/>
      <c r="C351" s="93" t="s">
        <v>142</v>
      </c>
      <c r="D351" s="117"/>
      <c r="E351" s="239"/>
    </row>
    <row r="352" spans="1:5" ht="15" hidden="1">
      <c r="A352" s="95" t="s">
        <v>148</v>
      </c>
      <c r="B352" s="107"/>
      <c r="C352" s="93" t="s">
        <v>129</v>
      </c>
      <c r="D352" s="109">
        <v>0</v>
      </c>
      <c r="E352" s="239"/>
    </row>
    <row r="353" spans="1:5" ht="15" hidden="1">
      <c r="A353" s="95" t="s">
        <v>149</v>
      </c>
      <c r="B353" s="107"/>
      <c r="C353" s="93" t="s">
        <v>129</v>
      </c>
      <c r="D353" s="109">
        <v>0</v>
      </c>
      <c r="E353" s="239"/>
    </row>
    <row r="354" spans="1:5" ht="15" hidden="1">
      <c r="A354" s="112" t="s">
        <v>150</v>
      </c>
      <c r="B354" s="101"/>
      <c r="C354" s="90" t="s">
        <v>142</v>
      </c>
      <c r="D354" s="113"/>
      <c r="E354" s="239"/>
    </row>
    <row r="355" spans="1:5" ht="15" hidden="1">
      <c r="A355" s="88" t="s">
        <v>151</v>
      </c>
      <c r="B355" s="101"/>
      <c r="C355" s="90"/>
      <c r="D355" s="118"/>
      <c r="E355" s="239"/>
    </row>
    <row r="356" spans="1:5" ht="15" hidden="1">
      <c r="A356" s="92" t="s">
        <v>152</v>
      </c>
      <c r="B356" s="107"/>
      <c r="C356" s="93" t="s">
        <v>143</v>
      </c>
      <c r="D356" s="108"/>
      <c r="E356" s="239"/>
    </row>
    <row r="357" spans="1:5" ht="15" hidden="1">
      <c r="A357" s="92" t="s">
        <v>219</v>
      </c>
      <c r="B357" s="107"/>
      <c r="C357" s="93" t="s">
        <v>220</v>
      </c>
      <c r="D357" s="111"/>
      <c r="E357" s="239"/>
    </row>
    <row r="358" spans="1:5" ht="15" hidden="1">
      <c r="A358" s="92" t="s">
        <v>162</v>
      </c>
      <c r="B358" s="107"/>
      <c r="C358" s="93" t="s">
        <v>221</v>
      </c>
      <c r="D358" s="109">
        <f>D356*D357/1000</f>
        <v>0</v>
      </c>
      <c r="E358" s="239"/>
    </row>
    <row r="359" spans="1:5" ht="15" hidden="1">
      <c r="A359" s="95" t="s">
        <v>126</v>
      </c>
      <c r="B359" s="107"/>
      <c r="C359" s="93" t="s">
        <v>138</v>
      </c>
      <c r="D359" s="116"/>
      <c r="E359" s="239"/>
    </row>
    <row r="360" spans="1:5" ht="15" hidden="1">
      <c r="A360" s="229" t="s">
        <v>139</v>
      </c>
      <c r="B360" s="230"/>
      <c r="C360" s="231" t="s">
        <v>140</v>
      </c>
      <c r="D360" s="232"/>
      <c r="E360" s="239"/>
    </row>
    <row r="361" spans="1:5" ht="15" hidden="1">
      <c r="A361" s="95" t="s">
        <v>153</v>
      </c>
      <c r="B361" s="107"/>
      <c r="C361" s="93" t="s">
        <v>129</v>
      </c>
      <c r="D361" s="310"/>
      <c r="E361" s="239"/>
    </row>
    <row r="362" spans="1:5" ht="15" hidden="1">
      <c r="A362" s="95" t="s">
        <v>148</v>
      </c>
      <c r="B362" s="107"/>
      <c r="C362" s="93" t="s">
        <v>129</v>
      </c>
      <c r="D362" s="310"/>
      <c r="E362" s="239"/>
    </row>
    <row r="363" spans="1:5" ht="15" hidden="1">
      <c r="A363" s="287" t="s">
        <v>222</v>
      </c>
      <c r="B363" s="288"/>
      <c r="C363" s="289" t="s">
        <v>129</v>
      </c>
      <c r="D363" s="311"/>
      <c r="E363" s="239"/>
    </row>
    <row r="364" spans="1:5" ht="15" hidden="1">
      <c r="A364" s="290" t="s">
        <v>154</v>
      </c>
      <c r="B364" s="291"/>
      <c r="C364" s="292" t="s">
        <v>142</v>
      </c>
      <c r="D364" s="282"/>
      <c r="E364" s="239"/>
    </row>
    <row r="365" spans="1:5" ht="15" hidden="1">
      <c r="A365" s="88" t="s">
        <v>246</v>
      </c>
      <c r="B365" s="107"/>
      <c r="C365" s="93"/>
      <c r="D365" s="117"/>
      <c r="E365" s="239"/>
    </row>
    <row r="366" spans="1:5" ht="15" hidden="1">
      <c r="A366" s="92" t="s">
        <v>247</v>
      </c>
      <c r="B366" s="107"/>
      <c r="C366" s="93" t="s">
        <v>221</v>
      </c>
      <c r="D366" s="109">
        <v>6.93</v>
      </c>
      <c r="E366" s="239"/>
    </row>
    <row r="367" spans="1:5" ht="15" hidden="1">
      <c r="A367" s="95" t="s">
        <v>126</v>
      </c>
      <c r="B367" s="107"/>
      <c r="C367" s="93" t="s">
        <v>138</v>
      </c>
      <c r="D367" s="116">
        <v>4507</v>
      </c>
      <c r="E367" s="239"/>
    </row>
    <row r="368" spans="1:5" ht="15" hidden="1">
      <c r="A368" s="95" t="s">
        <v>139</v>
      </c>
      <c r="B368" s="107"/>
      <c r="C368" s="93" t="s">
        <v>140</v>
      </c>
      <c r="D368" s="109">
        <f>D366*D367/10000</f>
        <v>3.123351</v>
      </c>
      <c r="E368" s="239"/>
    </row>
    <row r="369" spans="1:5" ht="15" hidden="1">
      <c r="A369" s="95" t="s">
        <v>248</v>
      </c>
      <c r="B369" s="107"/>
      <c r="C369" s="93" t="s">
        <v>129</v>
      </c>
      <c r="D369" s="109">
        <f>4.2273</f>
        <v>4.2273</v>
      </c>
      <c r="E369" s="239"/>
    </row>
    <row r="370" spans="1:5" ht="15" hidden="1">
      <c r="A370" s="293" t="s">
        <v>158</v>
      </c>
      <c r="B370" s="294"/>
      <c r="C370" s="295" t="s">
        <v>142</v>
      </c>
      <c r="D370" s="296">
        <f>D369*1000/D368</f>
        <v>1353.4501885955178</v>
      </c>
      <c r="E370" s="239"/>
    </row>
    <row r="371" spans="1:5" ht="15" hidden="1">
      <c r="A371" s="119" t="s">
        <v>159</v>
      </c>
      <c r="B371" s="120"/>
      <c r="C371" s="121" t="s">
        <v>142</v>
      </c>
      <c r="D371" s="122"/>
      <c r="E371" s="239"/>
    </row>
    <row r="372" spans="1:5" ht="15" hidden="1">
      <c r="A372" s="119" t="s">
        <v>160</v>
      </c>
      <c r="B372" s="120"/>
      <c r="C372" s="121" t="s">
        <v>142</v>
      </c>
      <c r="D372" s="122"/>
      <c r="E372" s="239"/>
    </row>
    <row r="373" spans="1:5" ht="15" hidden="1">
      <c r="A373" s="88" t="s">
        <v>161</v>
      </c>
      <c r="B373" s="89"/>
      <c r="C373" s="123"/>
      <c r="D373" s="124"/>
      <c r="E373" s="239"/>
    </row>
    <row r="374" spans="1:5" ht="15" hidden="1">
      <c r="A374" s="95" t="s">
        <v>162</v>
      </c>
      <c r="B374" s="89"/>
      <c r="C374" s="93" t="s">
        <v>98</v>
      </c>
      <c r="D374" s="125"/>
      <c r="E374" s="239"/>
    </row>
    <row r="375" spans="1:5" ht="15" hidden="1">
      <c r="A375" s="95" t="s">
        <v>163</v>
      </c>
      <c r="B375" s="89"/>
      <c r="C375" s="93" t="s">
        <v>129</v>
      </c>
      <c r="D375" s="125"/>
      <c r="E375" s="239"/>
    </row>
    <row r="376" spans="1:5" ht="15" hidden="1">
      <c r="A376" s="126" t="s">
        <v>164</v>
      </c>
      <c r="B376" s="127"/>
      <c r="C376" s="128" t="s">
        <v>59</v>
      </c>
      <c r="D376" s="129"/>
      <c r="E376" s="239"/>
    </row>
    <row r="377" spans="1:5" ht="15" hidden="1">
      <c r="A377" s="92" t="s">
        <v>165</v>
      </c>
      <c r="B377" s="107"/>
      <c r="C377" s="93" t="s">
        <v>137</v>
      </c>
      <c r="D377" s="94"/>
      <c r="E377" s="239"/>
    </row>
    <row r="378" spans="1:5" ht="15" hidden="1">
      <c r="A378" s="95" t="s">
        <v>126</v>
      </c>
      <c r="B378" s="107"/>
      <c r="C378" s="93" t="s">
        <v>138</v>
      </c>
      <c r="D378" s="124"/>
      <c r="E378" s="239"/>
    </row>
    <row r="379" spans="1:5" ht="15" hidden="1">
      <c r="A379" s="95" t="s">
        <v>139</v>
      </c>
      <c r="B379" s="107"/>
      <c r="C379" s="93" t="s">
        <v>140</v>
      </c>
      <c r="D379" s="94">
        <f>D377*D378/10000</f>
        <v>0</v>
      </c>
      <c r="E379" s="239"/>
    </row>
    <row r="380" spans="1:5" ht="15" hidden="1">
      <c r="A380" s="95" t="s">
        <v>141</v>
      </c>
      <c r="B380" s="107"/>
      <c r="C380" s="93" t="s">
        <v>129</v>
      </c>
      <c r="D380" s="94"/>
      <c r="E380" s="239"/>
    </row>
    <row r="381" spans="1:5" ht="15" hidden="1">
      <c r="A381" s="95" t="s">
        <v>166</v>
      </c>
      <c r="B381" s="107"/>
      <c r="C381" s="93" t="s">
        <v>142</v>
      </c>
      <c r="D381" s="102"/>
      <c r="E381" s="239"/>
    </row>
    <row r="382" ht="15" hidden="1">
      <c r="E382" s="239"/>
    </row>
    <row r="383" spans="1:4" ht="15" hidden="1">
      <c r="A383" t="s">
        <v>189</v>
      </c>
      <c r="D383" s="194" t="s">
        <v>190</v>
      </c>
    </row>
    <row r="384" spans="1:5" ht="15">
      <c r="A384" s="491" t="s">
        <v>223</v>
      </c>
      <c r="B384" s="491"/>
      <c r="C384" s="491"/>
      <c r="D384" s="491"/>
      <c r="E384" s="491"/>
    </row>
    <row r="385" spans="1:5" ht="15">
      <c r="A385" s="490" t="s">
        <v>224</v>
      </c>
      <c r="B385" s="490"/>
      <c r="C385" s="490"/>
      <c r="D385" s="490"/>
      <c r="E385" s="490"/>
    </row>
    <row r="386" spans="1:5" ht="15">
      <c r="A386" s="321"/>
      <c r="B386" s="321"/>
      <c r="C386" s="321"/>
      <c r="D386" s="321"/>
      <c r="E386" s="321"/>
    </row>
    <row r="387" spans="2:5" ht="15.75">
      <c r="B387" s="489" t="s">
        <v>264</v>
      </c>
      <c r="C387" s="489"/>
      <c r="D387" s="489"/>
      <c r="E387" s="489"/>
    </row>
    <row r="388" spans="2:5" ht="15.75">
      <c r="B388" s="322"/>
      <c r="C388" s="322"/>
      <c r="D388" s="322"/>
      <c r="E388" s="322"/>
    </row>
    <row r="389" spans="1:4" ht="15">
      <c r="A389" s="85"/>
      <c r="B389" s="86"/>
      <c r="C389" s="87" t="s">
        <v>122</v>
      </c>
      <c r="D389" s="87" t="s">
        <v>123</v>
      </c>
    </row>
    <row r="390" spans="1:4" ht="15">
      <c r="A390" s="88" t="s">
        <v>24</v>
      </c>
      <c r="B390" s="89"/>
      <c r="C390" s="90"/>
      <c r="D390" s="91"/>
    </row>
    <row r="391" spans="1:4" ht="15">
      <c r="A391" s="92" t="s">
        <v>124</v>
      </c>
      <c r="B391" s="89"/>
      <c r="C391" s="93" t="s">
        <v>125</v>
      </c>
      <c r="D391" s="94">
        <v>558</v>
      </c>
    </row>
    <row r="392" spans="1:4" ht="15">
      <c r="A392" s="95" t="s">
        <v>126</v>
      </c>
      <c r="B392" s="89"/>
      <c r="C392" s="93" t="s">
        <v>127</v>
      </c>
      <c r="D392" s="96">
        <v>8046</v>
      </c>
    </row>
    <row r="393" spans="1:4" ht="15">
      <c r="A393" s="95" t="s">
        <v>128</v>
      </c>
      <c r="B393" s="89"/>
      <c r="C393" s="93" t="s">
        <v>129</v>
      </c>
      <c r="D393" s="94">
        <v>676.1907</v>
      </c>
    </row>
    <row r="394" spans="1:4" ht="15">
      <c r="A394" s="95" t="s">
        <v>130</v>
      </c>
      <c r="B394" s="89"/>
      <c r="C394" s="93" t="s">
        <v>129</v>
      </c>
      <c r="D394" s="94">
        <v>20.94174</v>
      </c>
    </row>
    <row r="395" spans="1:4" ht="15">
      <c r="A395" s="97" t="s">
        <v>131</v>
      </c>
      <c r="B395" s="98"/>
      <c r="C395" s="99" t="s">
        <v>132</v>
      </c>
      <c r="D395" s="100">
        <f>D396+D398+D397</f>
        <v>1524.3612903225805</v>
      </c>
    </row>
    <row r="396" spans="1:4" ht="15">
      <c r="A396" s="95" t="s">
        <v>133</v>
      </c>
      <c r="B396" s="101"/>
      <c r="C396" s="93" t="s">
        <v>134</v>
      </c>
      <c r="D396" s="102">
        <f>D393/D391*1000</f>
        <v>1211.8112903225806</v>
      </c>
    </row>
    <row r="397" spans="1:4" ht="15">
      <c r="A397" s="103" t="s">
        <v>135</v>
      </c>
      <c r="B397" s="104"/>
      <c r="C397" s="93" t="s">
        <v>134</v>
      </c>
      <c r="D397" s="102">
        <f>D394/D391*1000</f>
        <v>37.53</v>
      </c>
    </row>
    <row r="398" spans="1:4" ht="15">
      <c r="A398" s="103" t="s">
        <v>136</v>
      </c>
      <c r="B398" s="105"/>
      <c r="C398" s="87" t="s">
        <v>134</v>
      </c>
      <c r="D398" s="106">
        <v>275.02</v>
      </c>
    </row>
    <row r="399" spans="1:4" ht="15">
      <c r="A399" s="88" t="s">
        <v>216</v>
      </c>
      <c r="B399" s="107"/>
      <c r="C399" s="93"/>
      <c r="D399" s="108"/>
    </row>
    <row r="400" spans="1:4" ht="15">
      <c r="A400" s="92" t="s">
        <v>226</v>
      </c>
      <c r="B400" s="107"/>
      <c r="C400" s="93" t="s">
        <v>221</v>
      </c>
      <c r="D400" s="109">
        <v>160.38</v>
      </c>
    </row>
    <row r="401" spans="1:4" ht="15">
      <c r="A401" s="95" t="s">
        <v>126</v>
      </c>
      <c r="B401" s="110"/>
      <c r="C401" s="93" t="s">
        <v>138</v>
      </c>
      <c r="D401" s="111">
        <v>5623</v>
      </c>
    </row>
    <row r="402" spans="1:4" ht="15">
      <c r="A402" s="95" t="s">
        <v>139</v>
      </c>
      <c r="B402" s="107"/>
      <c r="C402" s="93" t="s">
        <v>140</v>
      </c>
      <c r="D402" s="109">
        <f>D400*D401/10000</f>
        <v>90.181674</v>
      </c>
    </row>
    <row r="403" spans="1:4" ht="15">
      <c r="A403" s="95" t="s">
        <v>227</v>
      </c>
      <c r="B403" s="107"/>
      <c r="C403" s="93" t="s">
        <v>129</v>
      </c>
      <c r="D403" s="109">
        <v>72.90073</v>
      </c>
    </row>
    <row r="404" spans="1:4" ht="15">
      <c r="A404" s="283" t="s">
        <v>228</v>
      </c>
      <c r="B404" s="284"/>
      <c r="C404" s="285" t="s">
        <v>142</v>
      </c>
      <c r="D404" s="286">
        <f>D403/D402*1000</f>
        <v>808.3763226661771</v>
      </c>
    </row>
    <row r="405" spans="1:4" ht="15" hidden="1">
      <c r="A405" s="88" t="s">
        <v>144</v>
      </c>
      <c r="B405" s="89"/>
      <c r="C405" s="114"/>
      <c r="D405" s="115"/>
    </row>
    <row r="406" spans="1:4" ht="15" hidden="1">
      <c r="A406" s="92" t="s">
        <v>145</v>
      </c>
      <c r="B406" s="107"/>
      <c r="C406" s="93" t="s">
        <v>143</v>
      </c>
      <c r="D406" s="109"/>
    </row>
    <row r="407" spans="1:4" ht="15" hidden="1">
      <c r="A407" s="92" t="s">
        <v>219</v>
      </c>
      <c r="B407" s="107"/>
      <c r="C407" s="93" t="s">
        <v>220</v>
      </c>
      <c r="D407" s="109"/>
    </row>
    <row r="408" spans="1:5" ht="15" hidden="1">
      <c r="A408" s="92" t="s">
        <v>162</v>
      </c>
      <c r="B408" s="107"/>
      <c r="C408" s="93" t="s">
        <v>221</v>
      </c>
      <c r="D408" s="109"/>
      <c r="E408" s="239"/>
    </row>
    <row r="409" spans="1:5" ht="15" hidden="1">
      <c r="A409" s="95" t="s">
        <v>126</v>
      </c>
      <c r="B409" s="107"/>
      <c r="C409" s="93" t="s">
        <v>138</v>
      </c>
      <c r="D409" s="116"/>
      <c r="E409" s="239"/>
    </row>
    <row r="410" spans="1:5" ht="15" hidden="1">
      <c r="A410" s="229" t="s">
        <v>139</v>
      </c>
      <c r="B410" s="230"/>
      <c r="C410" s="231" t="s">
        <v>140</v>
      </c>
      <c r="D410" s="232">
        <f>D408*D409/10000</f>
        <v>0</v>
      </c>
      <c r="E410" s="239"/>
    </row>
    <row r="411" spans="1:5" ht="15" hidden="1">
      <c r="A411" s="234" t="s">
        <v>146</v>
      </c>
      <c r="B411" s="235"/>
      <c r="C411" s="236" t="s">
        <v>129</v>
      </c>
      <c r="D411" s="238"/>
      <c r="E411" s="239"/>
    </row>
    <row r="412" spans="1:5" ht="15" hidden="1">
      <c r="A412" s="95" t="s">
        <v>147</v>
      </c>
      <c r="B412" s="107"/>
      <c r="C412" s="93" t="s">
        <v>142</v>
      </c>
      <c r="D412" s="117"/>
      <c r="E412" s="239"/>
    </row>
    <row r="413" spans="1:5" ht="15" hidden="1">
      <c r="A413" s="95" t="s">
        <v>148</v>
      </c>
      <c r="B413" s="107"/>
      <c r="C413" s="93" t="s">
        <v>129</v>
      </c>
      <c r="D413" s="109">
        <v>0</v>
      </c>
      <c r="E413" s="239"/>
    </row>
    <row r="414" spans="1:5" ht="15" hidden="1">
      <c r="A414" s="95" t="s">
        <v>149</v>
      </c>
      <c r="B414" s="107"/>
      <c r="C414" s="93" t="s">
        <v>129</v>
      </c>
      <c r="D414" s="109">
        <v>0</v>
      </c>
      <c r="E414" s="239"/>
    </row>
    <row r="415" spans="1:5" ht="15" hidden="1">
      <c r="A415" s="112" t="s">
        <v>150</v>
      </c>
      <c r="B415" s="101"/>
      <c r="C415" s="90" t="s">
        <v>142</v>
      </c>
      <c r="D415" s="113"/>
      <c r="E415" s="239"/>
    </row>
    <row r="416" spans="1:5" ht="15" hidden="1">
      <c r="A416" s="88" t="s">
        <v>151</v>
      </c>
      <c r="B416" s="101"/>
      <c r="C416" s="90"/>
      <c r="D416" s="118"/>
      <c r="E416" s="239"/>
    </row>
    <row r="417" spans="1:5" ht="15" hidden="1">
      <c r="A417" s="92" t="s">
        <v>152</v>
      </c>
      <c r="B417" s="107"/>
      <c r="C417" s="93" t="s">
        <v>143</v>
      </c>
      <c r="D417" s="108"/>
      <c r="E417" s="239"/>
    </row>
    <row r="418" spans="1:5" ht="15" hidden="1">
      <c r="A418" s="92" t="s">
        <v>219</v>
      </c>
      <c r="B418" s="107"/>
      <c r="C418" s="93" t="s">
        <v>220</v>
      </c>
      <c r="D418" s="111"/>
      <c r="E418" s="239"/>
    </row>
    <row r="419" spans="1:5" ht="15" hidden="1">
      <c r="A419" s="92" t="s">
        <v>162</v>
      </c>
      <c r="B419" s="107"/>
      <c r="C419" s="93" t="s">
        <v>221</v>
      </c>
      <c r="D419" s="109">
        <f>D417*D418/1000</f>
        <v>0</v>
      </c>
      <c r="E419" s="239"/>
    </row>
    <row r="420" spans="1:5" ht="15" hidden="1">
      <c r="A420" s="95" t="s">
        <v>126</v>
      </c>
      <c r="B420" s="107"/>
      <c r="C420" s="93" t="s">
        <v>138</v>
      </c>
      <c r="D420" s="116"/>
      <c r="E420" s="239"/>
    </row>
    <row r="421" spans="1:5" ht="15" hidden="1">
      <c r="A421" s="229" t="s">
        <v>139</v>
      </c>
      <c r="B421" s="230"/>
      <c r="C421" s="231" t="s">
        <v>140</v>
      </c>
      <c r="D421" s="232"/>
      <c r="E421" s="239"/>
    </row>
    <row r="422" spans="1:5" ht="15" hidden="1">
      <c r="A422" s="95" t="s">
        <v>153</v>
      </c>
      <c r="B422" s="107"/>
      <c r="C422" s="93" t="s">
        <v>129</v>
      </c>
      <c r="D422" s="310"/>
      <c r="E422" s="239"/>
    </row>
    <row r="423" spans="1:5" ht="15" hidden="1">
      <c r="A423" s="95" t="s">
        <v>148</v>
      </c>
      <c r="B423" s="107"/>
      <c r="C423" s="93" t="s">
        <v>129</v>
      </c>
      <c r="D423" s="310"/>
      <c r="E423" s="239"/>
    </row>
    <row r="424" spans="1:5" ht="15" hidden="1">
      <c r="A424" s="287" t="s">
        <v>222</v>
      </c>
      <c r="B424" s="288"/>
      <c r="C424" s="289" t="s">
        <v>129</v>
      </c>
      <c r="D424" s="311"/>
      <c r="E424" s="239"/>
    </row>
    <row r="425" spans="1:5" ht="15" hidden="1">
      <c r="A425" s="290" t="s">
        <v>154</v>
      </c>
      <c r="B425" s="291"/>
      <c r="C425" s="292" t="s">
        <v>142</v>
      </c>
      <c r="D425" s="282"/>
      <c r="E425" s="239"/>
    </row>
    <row r="426" spans="1:5" ht="15">
      <c r="A426" s="88" t="s">
        <v>246</v>
      </c>
      <c r="B426" s="107"/>
      <c r="C426" s="93"/>
      <c r="D426" s="117"/>
      <c r="E426" s="239"/>
    </row>
    <row r="427" spans="1:5" ht="15">
      <c r="A427" s="92" t="s">
        <v>247</v>
      </c>
      <c r="B427" s="107"/>
      <c r="C427" s="93" t="s">
        <v>221</v>
      </c>
      <c r="D427" s="109">
        <v>7.92</v>
      </c>
      <c r="E427" s="239"/>
    </row>
    <row r="428" spans="1:5" ht="15">
      <c r="A428" s="95" t="s">
        <v>126</v>
      </c>
      <c r="B428" s="107"/>
      <c r="C428" s="93" t="s">
        <v>138</v>
      </c>
      <c r="D428" s="116">
        <v>4507</v>
      </c>
      <c r="E428" s="239"/>
    </row>
    <row r="429" spans="1:5" ht="15">
      <c r="A429" s="95" t="s">
        <v>139</v>
      </c>
      <c r="B429" s="107"/>
      <c r="C429" s="93" t="s">
        <v>140</v>
      </c>
      <c r="D429" s="109">
        <f>D427*D428/10000</f>
        <v>3.569544</v>
      </c>
      <c r="E429" s="239"/>
    </row>
    <row r="430" spans="1:5" ht="15">
      <c r="A430" s="95" t="s">
        <v>248</v>
      </c>
      <c r="B430" s="107"/>
      <c r="C430" s="93" t="s">
        <v>129</v>
      </c>
      <c r="D430" s="109">
        <v>4.8312</v>
      </c>
      <c r="E430" s="239"/>
    </row>
    <row r="431" spans="1:5" ht="15">
      <c r="A431" s="293" t="s">
        <v>263</v>
      </c>
      <c r="B431" s="294"/>
      <c r="C431" s="295" t="s">
        <v>142</v>
      </c>
      <c r="D431" s="296">
        <f>D430*1000/D429</f>
        <v>1353.450188595518</v>
      </c>
      <c r="E431" s="239"/>
    </row>
    <row r="432" spans="1:5" ht="15" hidden="1">
      <c r="A432" s="119" t="s">
        <v>159</v>
      </c>
      <c r="B432" s="120"/>
      <c r="C432" s="121" t="s">
        <v>142</v>
      </c>
      <c r="D432" s="122"/>
      <c r="E432" s="239"/>
    </row>
    <row r="433" spans="1:5" ht="15" hidden="1">
      <c r="A433" s="119" t="s">
        <v>160</v>
      </c>
      <c r="B433" s="120"/>
      <c r="C433" s="121" t="s">
        <v>142</v>
      </c>
      <c r="D433" s="122"/>
      <c r="E433" s="239"/>
    </row>
    <row r="434" spans="1:5" ht="15" hidden="1">
      <c r="A434" s="88" t="s">
        <v>161</v>
      </c>
      <c r="B434" s="89"/>
      <c r="C434" s="123"/>
      <c r="D434" s="124"/>
      <c r="E434" s="239"/>
    </row>
    <row r="435" spans="1:5" ht="15" hidden="1">
      <c r="A435" s="95" t="s">
        <v>162</v>
      </c>
      <c r="B435" s="89"/>
      <c r="C435" s="93" t="s">
        <v>98</v>
      </c>
      <c r="D435" s="125"/>
      <c r="E435" s="239"/>
    </row>
    <row r="436" spans="1:5" ht="15" hidden="1">
      <c r="A436" s="95" t="s">
        <v>163</v>
      </c>
      <c r="B436" s="89"/>
      <c r="C436" s="93" t="s">
        <v>129</v>
      </c>
      <c r="D436" s="125"/>
      <c r="E436" s="239"/>
    </row>
    <row r="437" spans="1:5" ht="15" hidden="1">
      <c r="A437" s="126" t="s">
        <v>164</v>
      </c>
      <c r="B437" s="127"/>
      <c r="C437" s="128" t="s">
        <v>59</v>
      </c>
      <c r="D437" s="129"/>
      <c r="E437" s="239"/>
    </row>
    <row r="438" spans="1:5" ht="15" hidden="1">
      <c r="A438" s="92" t="s">
        <v>165</v>
      </c>
      <c r="B438" s="107"/>
      <c r="C438" s="93" t="s">
        <v>137</v>
      </c>
      <c r="D438" s="94"/>
      <c r="E438" s="239"/>
    </row>
    <row r="439" spans="1:5" ht="15" hidden="1">
      <c r="A439" s="95" t="s">
        <v>126</v>
      </c>
      <c r="B439" s="107"/>
      <c r="C439" s="93" t="s">
        <v>138</v>
      </c>
      <c r="D439" s="124"/>
      <c r="E439" s="239"/>
    </row>
    <row r="440" spans="1:5" ht="15" hidden="1">
      <c r="A440" s="95" t="s">
        <v>139</v>
      </c>
      <c r="B440" s="107"/>
      <c r="C440" s="93" t="s">
        <v>140</v>
      </c>
      <c r="D440" s="94">
        <f>D438*D439/10000</f>
        <v>0</v>
      </c>
      <c r="E440" s="239"/>
    </row>
    <row r="441" spans="1:5" ht="15" hidden="1">
      <c r="A441" s="95" t="s">
        <v>141</v>
      </c>
      <c r="B441" s="107"/>
      <c r="C441" s="93" t="s">
        <v>129</v>
      </c>
      <c r="D441" s="94"/>
      <c r="E441" s="239"/>
    </row>
    <row r="442" spans="1:5" ht="15" hidden="1">
      <c r="A442" s="95" t="s">
        <v>166</v>
      </c>
      <c r="B442" s="107"/>
      <c r="C442" s="93" t="s">
        <v>142</v>
      </c>
      <c r="D442" s="102"/>
      <c r="E442" s="239"/>
    </row>
    <row r="443" ht="15">
      <c r="E443" s="239"/>
    </row>
    <row r="445" spans="1:4" ht="15">
      <c r="A445" t="s">
        <v>189</v>
      </c>
      <c r="D445" s="194" t="s">
        <v>190</v>
      </c>
    </row>
    <row r="466" spans="1:5" ht="15">
      <c r="A466" s="491" t="s">
        <v>223</v>
      </c>
      <c r="B466" s="491"/>
      <c r="C466" s="491"/>
      <c r="D466" s="491"/>
      <c r="E466" s="491"/>
    </row>
    <row r="467" spans="1:5" ht="15">
      <c r="A467" s="490" t="s">
        <v>224</v>
      </c>
      <c r="B467" s="490"/>
      <c r="C467" s="490"/>
      <c r="D467" s="490"/>
      <c r="E467" s="490"/>
    </row>
    <row r="468" spans="1:5" ht="15">
      <c r="A468" s="353"/>
      <c r="B468" s="353"/>
      <c r="C468" s="353"/>
      <c r="D468" s="353"/>
      <c r="E468" s="353"/>
    </row>
    <row r="469" spans="2:5" ht="15.75">
      <c r="B469" s="492" t="s">
        <v>269</v>
      </c>
      <c r="C469" s="492"/>
      <c r="D469" s="492"/>
      <c r="E469" s="492"/>
    </row>
    <row r="470" spans="2:5" ht="15.75">
      <c r="B470" s="354"/>
      <c r="C470" s="354"/>
      <c r="D470" s="354"/>
      <c r="E470" s="354"/>
    </row>
    <row r="471" spans="1:4" ht="15">
      <c r="A471" s="85"/>
      <c r="B471" s="86"/>
      <c r="C471" s="87" t="s">
        <v>122</v>
      </c>
      <c r="D471" s="87" t="s">
        <v>123</v>
      </c>
    </row>
    <row r="472" spans="1:4" ht="15">
      <c r="A472" s="88" t="s">
        <v>24</v>
      </c>
      <c r="B472" s="89"/>
      <c r="C472" s="90"/>
      <c r="D472" s="91"/>
    </row>
    <row r="473" spans="1:4" ht="15">
      <c r="A473" s="92" t="s">
        <v>124</v>
      </c>
      <c r="B473" s="89"/>
      <c r="C473" s="93" t="s">
        <v>125</v>
      </c>
      <c r="D473" s="94">
        <v>773.783</v>
      </c>
    </row>
    <row r="474" spans="1:4" ht="15">
      <c r="A474" s="95" t="s">
        <v>126</v>
      </c>
      <c r="B474" s="89"/>
      <c r="C474" s="93" t="s">
        <v>127</v>
      </c>
      <c r="D474" s="96">
        <v>8037</v>
      </c>
    </row>
    <row r="475" spans="1:4" ht="15">
      <c r="A475" s="95" t="s">
        <v>128</v>
      </c>
      <c r="B475" s="89"/>
      <c r="C475" s="93" t="s">
        <v>129</v>
      </c>
      <c r="D475" s="94">
        <v>958.40762</v>
      </c>
    </row>
    <row r="476" spans="1:4" ht="15">
      <c r="A476" s="95" t="s">
        <v>130</v>
      </c>
      <c r="B476" s="89"/>
      <c r="C476" s="93" t="s">
        <v>129</v>
      </c>
      <c r="D476" s="94">
        <v>0</v>
      </c>
    </row>
    <row r="477" spans="1:4" ht="15">
      <c r="A477" s="97" t="s">
        <v>131</v>
      </c>
      <c r="B477" s="98"/>
      <c r="C477" s="99" t="s">
        <v>132</v>
      </c>
      <c r="D477" s="100">
        <f>D478+D480+D479</f>
        <v>1551.8299950890623</v>
      </c>
    </row>
    <row r="478" spans="1:4" ht="15">
      <c r="A478" s="95" t="s">
        <v>133</v>
      </c>
      <c r="B478" s="101"/>
      <c r="C478" s="93" t="s">
        <v>134</v>
      </c>
      <c r="D478" s="102">
        <f>D475/D473*1000</f>
        <v>1238.5999950890623</v>
      </c>
    </row>
    <row r="479" spans="1:4" ht="15">
      <c r="A479" s="103" t="s">
        <v>135</v>
      </c>
      <c r="B479" s="104"/>
      <c r="C479" s="93" t="s">
        <v>134</v>
      </c>
      <c r="D479" s="102"/>
    </row>
    <row r="480" spans="1:4" ht="15">
      <c r="A480" s="103" t="s">
        <v>136</v>
      </c>
      <c r="B480" s="105"/>
      <c r="C480" s="87" t="s">
        <v>134</v>
      </c>
      <c r="D480" s="106">
        <v>313.23</v>
      </c>
    </row>
    <row r="481" spans="1:4" ht="15">
      <c r="A481" s="88" t="s">
        <v>216</v>
      </c>
      <c r="B481" s="107"/>
      <c r="C481" s="93"/>
      <c r="D481" s="108"/>
    </row>
    <row r="482" spans="1:4" ht="15">
      <c r="A482" s="92" t="s">
        <v>226</v>
      </c>
      <c r="B482" s="107"/>
      <c r="C482" s="93" t="s">
        <v>221</v>
      </c>
      <c r="D482" s="109">
        <v>118.2</v>
      </c>
    </row>
    <row r="483" spans="1:4" ht="15">
      <c r="A483" s="95" t="s">
        <v>126</v>
      </c>
      <c r="B483" s="110"/>
      <c r="C483" s="93" t="s">
        <v>138</v>
      </c>
      <c r="D483" s="111">
        <v>5623</v>
      </c>
    </row>
    <row r="484" spans="1:4" ht="15">
      <c r="A484" s="95" t="s">
        <v>139</v>
      </c>
      <c r="B484" s="107"/>
      <c r="C484" s="93" t="s">
        <v>140</v>
      </c>
      <c r="D484" s="109">
        <f>D482*D483/10000</f>
        <v>66.46386</v>
      </c>
    </row>
    <row r="485" spans="1:4" ht="15">
      <c r="A485" s="95" t="s">
        <v>227</v>
      </c>
      <c r="B485" s="107"/>
      <c r="C485" s="93" t="s">
        <v>129</v>
      </c>
      <c r="D485" s="109">
        <v>53.72781</v>
      </c>
    </row>
    <row r="486" spans="1:4" ht="15">
      <c r="A486" s="283" t="s">
        <v>228</v>
      </c>
      <c r="B486" s="284"/>
      <c r="C486" s="285" t="s">
        <v>142</v>
      </c>
      <c r="D486" s="286">
        <f>D485/D484*1000</f>
        <v>808.3763115774498</v>
      </c>
    </row>
    <row r="487" spans="1:4" ht="15">
      <c r="A487" s="88" t="s">
        <v>246</v>
      </c>
      <c r="B487" s="107"/>
      <c r="C487" s="93"/>
      <c r="D487" s="117"/>
    </row>
    <row r="488" spans="1:4" ht="15">
      <c r="A488" s="92" t="s">
        <v>247</v>
      </c>
      <c r="B488" s="107"/>
      <c r="C488" s="93" t="s">
        <v>221</v>
      </c>
      <c r="D488" s="109">
        <v>12.285</v>
      </c>
    </row>
    <row r="489" spans="1:4" ht="15">
      <c r="A489" s="95" t="s">
        <v>126</v>
      </c>
      <c r="B489" s="107"/>
      <c r="C489" s="93" t="s">
        <v>138</v>
      </c>
      <c r="D489" s="116">
        <v>4507</v>
      </c>
    </row>
    <row r="490" spans="1:4" ht="15">
      <c r="A490" s="95" t="s">
        <v>139</v>
      </c>
      <c r="B490" s="107"/>
      <c r="C490" s="93" t="s">
        <v>140</v>
      </c>
      <c r="D490" s="109">
        <f>D488*D489/10000</f>
        <v>5.536849500000001</v>
      </c>
    </row>
    <row r="491" spans="1:4" ht="15">
      <c r="A491" s="95" t="s">
        <v>248</v>
      </c>
      <c r="B491" s="107"/>
      <c r="C491" s="93" t="s">
        <v>129</v>
      </c>
      <c r="D491" s="109">
        <v>7.49385</v>
      </c>
    </row>
    <row r="492" spans="1:4" ht="15">
      <c r="A492" s="293" t="s">
        <v>263</v>
      </c>
      <c r="B492" s="294"/>
      <c r="C492" s="295" t="s">
        <v>142</v>
      </c>
      <c r="D492" s="296">
        <f>D491*1000/D490</f>
        <v>1353.450188595518</v>
      </c>
    </row>
    <row r="496" spans="1:4" ht="15">
      <c r="A496" t="s">
        <v>189</v>
      </c>
      <c r="D496" s="194" t="s">
        <v>190</v>
      </c>
    </row>
    <row r="516" spans="1:5" ht="15">
      <c r="A516" s="491" t="s">
        <v>223</v>
      </c>
      <c r="B516" s="491"/>
      <c r="C516" s="491"/>
      <c r="D516" s="491"/>
      <c r="E516" s="491"/>
    </row>
    <row r="517" spans="1:5" ht="15">
      <c r="A517" s="490" t="s">
        <v>224</v>
      </c>
      <c r="B517" s="490"/>
      <c r="C517" s="490"/>
      <c r="D517" s="490"/>
      <c r="E517" s="490"/>
    </row>
    <row r="518" spans="1:5" ht="15">
      <c r="A518" s="356"/>
      <c r="B518" s="356"/>
      <c r="C518" s="356"/>
      <c r="D518" s="356"/>
      <c r="E518" s="356"/>
    </row>
    <row r="519" spans="2:5" ht="15.75">
      <c r="B519" s="492" t="s">
        <v>272</v>
      </c>
      <c r="C519" s="492"/>
      <c r="D519" s="492"/>
      <c r="E519" s="492"/>
    </row>
    <row r="520" spans="2:5" ht="15.75">
      <c r="B520" s="357"/>
      <c r="C520" s="357"/>
      <c r="D520" s="357"/>
      <c r="E520" s="357"/>
    </row>
    <row r="521" spans="1:4" ht="15">
      <c r="A521" s="85"/>
      <c r="B521" s="86"/>
      <c r="C521" s="87" t="s">
        <v>122</v>
      </c>
      <c r="D521" s="87" t="s">
        <v>123</v>
      </c>
    </row>
    <row r="522" spans="1:4" ht="15">
      <c r="A522" s="88" t="s">
        <v>24</v>
      </c>
      <c r="B522" s="89"/>
      <c r="C522" s="90"/>
      <c r="D522" s="91"/>
    </row>
    <row r="523" spans="1:4" ht="15">
      <c r="A523" s="92" t="s">
        <v>124</v>
      </c>
      <c r="B523" s="89"/>
      <c r="C523" s="93" t="s">
        <v>125</v>
      </c>
      <c r="D523" s="94">
        <v>546.191</v>
      </c>
    </row>
    <row r="524" spans="1:4" ht="15">
      <c r="A524" s="95" t="s">
        <v>126</v>
      </c>
      <c r="B524" s="89"/>
      <c r="C524" s="93" t="s">
        <v>127</v>
      </c>
      <c r="D524" s="96">
        <v>8046</v>
      </c>
    </row>
    <row r="525" spans="1:4" ht="15">
      <c r="A525" s="95" t="s">
        <v>128</v>
      </c>
      <c r="B525" s="89"/>
      <c r="C525" s="93" t="s">
        <v>129</v>
      </c>
      <c r="D525" s="94">
        <v>662.67169</v>
      </c>
    </row>
    <row r="526" spans="1:4" ht="15">
      <c r="A526" s="95" t="s">
        <v>130</v>
      </c>
      <c r="B526" s="89"/>
      <c r="C526" s="93" t="s">
        <v>129</v>
      </c>
      <c r="D526" s="94">
        <v>0</v>
      </c>
    </row>
    <row r="527" spans="1:4" ht="15">
      <c r="A527" s="97" t="s">
        <v>131</v>
      </c>
      <c r="B527" s="98"/>
      <c r="C527" s="99" t="s">
        <v>132</v>
      </c>
      <c r="D527" s="100">
        <f>D528+D530+D529</f>
        <v>1526.4899951299087</v>
      </c>
    </row>
    <row r="528" spans="1:4" ht="15">
      <c r="A528" s="95" t="s">
        <v>133</v>
      </c>
      <c r="B528" s="101"/>
      <c r="C528" s="93" t="s">
        <v>134</v>
      </c>
      <c r="D528" s="102">
        <f>D525/D523*1000</f>
        <v>1213.2599951299087</v>
      </c>
    </row>
    <row r="529" spans="1:4" ht="15">
      <c r="A529" s="103" t="s">
        <v>135</v>
      </c>
      <c r="B529" s="104"/>
      <c r="C529" s="93" t="s">
        <v>134</v>
      </c>
      <c r="D529" s="102"/>
    </row>
    <row r="530" spans="1:4" ht="15">
      <c r="A530" s="103" t="s">
        <v>136</v>
      </c>
      <c r="B530" s="105"/>
      <c r="C530" s="87" t="s">
        <v>134</v>
      </c>
      <c r="D530" s="106">
        <v>313.23</v>
      </c>
    </row>
    <row r="531" spans="1:4" ht="15">
      <c r="A531" s="88" t="s">
        <v>216</v>
      </c>
      <c r="B531" s="107"/>
      <c r="C531" s="93"/>
      <c r="D531" s="108"/>
    </row>
    <row r="532" spans="1:4" ht="15">
      <c r="A532" s="92" t="s">
        <v>226</v>
      </c>
      <c r="B532" s="107"/>
      <c r="C532" s="93" t="s">
        <v>221</v>
      </c>
      <c r="D532" s="109">
        <v>103.28</v>
      </c>
    </row>
    <row r="533" spans="1:4" ht="15">
      <c r="A533" s="95" t="s">
        <v>126</v>
      </c>
      <c r="B533" s="110"/>
      <c r="C533" s="93" t="s">
        <v>138</v>
      </c>
      <c r="D533" s="111">
        <v>5623</v>
      </c>
    </row>
    <row r="534" spans="1:4" ht="15">
      <c r="A534" s="95" t="s">
        <v>139</v>
      </c>
      <c r="B534" s="107"/>
      <c r="C534" s="93" t="s">
        <v>140</v>
      </c>
      <c r="D534" s="109">
        <f>D532*D533/10000</f>
        <v>58.074344</v>
      </c>
    </row>
    <row r="535" spans="1:4" ht="15">
      <c r="A535" s="95" t="s">
        <v>227</v>
      </c>
      <c r="B535" s="107"/>
      <c r="C535" s="93" t="s">
        <v>129</v>
      </c>
      <c r="D535" s="109">
        <v>46.94592</v>
      </c>
    </row>
    <row r="536" spans="1:4" ht="15">
      <c r="A536" s="283" t="s">
        <v>228</v>
      </c>
      <c r="B536" s="284"/>
      <c r="C536" s="285" t="s">
        <v>142</v>
      </c>
      <c r="D536" s="286">
        <f>D535/D534*1000</f>
        <v>808.3762427002188</v>
      </c>
    </row>
    <row r="537" spans="1:4" ht="15">
      <c r="A537" s="88" t="s">
        <v>246</v>
      </c>
      <c r="B537" s="107"/>
      <c r="C537" s="93"/>
      <c r="D537" s="117"/>
    </row>
    <row r="538" spans="1:4" ht="15">
      <c r="A538" s="92" t="s">
        <v>247</v>
      </c>
      <c r="B538" s="107"/>
      <c r="C538" s="93" t="s">
        <v>221</v>
      </c>
      <c r="D538" s="109">
        <v>4.2</v>
      </c>
    </row>
    <row r="539" spans="1:4" ht="15">
      <c r="A539" s="95" t="s">
        <v>126</v>
      </c>
      <c r="B539" s="107"/>
      <c r="C539" s="93" t="s">
        <v>138</v>
      </c>
      <c r="D539" s="116">
        <v>4507</v>
      </c>
    </row>
    <row r="540" spans="1:4" ht="15">
      <c r="A540" s="95" t="s">
        <v>139</v>
      </c>
      <c r="B540" s="107"/>
      <c r="C540" s="93" t="s">
        <v>140</v>
      </c>
      <c r="D540" s="109">
        <f>D538*D539/10000</f>
        <v>1.89294</v>
      </c>
    </row>
    <row r="541" spans="1:4" ht="15">
      <c r="A541" s="95" t="s">
        <v>248</v>
      </c>
      <c r="B541" s="107"/>
      <c r="C541" s="93" t="s">
        <v>129</v>
      </c>
      <c r="D541" s="109">
        <v>2.562</v>
      </c>
    </row>
    <row r="542" spans="1:4" ht="15">
      <c r="A542" s="293" t="s">
        <v>263</v>
      </c>
      <c r="B542" s="294"/>
      <c r="C542" s="295" t="s">
        <v>142</v>
      </c>
      <c r="D542" s="296">
        <f>D541*1000/D540</f>
        <v>1353.450188595518</v>
      </c>
    </row>
    <row r="546" spans="1:4" ht="15">
      <c r="A546" t="s">
        <v>189</v>
      </c>
      <c r="D546" s="194" t="s">
        <v>190</v>
      </c>
    </row>
  </sheetData>
  <sheetProtection/>
  <mergeCells count="27">
    <mergeCell ref="A186:E186"/>
    <mergeCell ref="A1:E1"/>
    <mergeCell ref="A2:E2"/>
    <mergeCell ref="B4:E4"/>
    <mergeCell ref="A61:E61"/>
    <mergeCell ref="A62:E62"/>
    <mergeCell ref="B64:E64"/>
    <mergeCell ref="A385:E385"/>
    <mergeCell ref="B189:E189"/>
    <mergeCell ref="A121:E121"/>
    <mergeCell ref="A122:E122"/>
    <mergeCell ref="B124:E124"/>
    <mergeCell ref="A251:E251"/>
    <mergeCell ref="A252:E252"/>
    <mergeCell ref="A187:E187"/>
    <mergeCell ref="A323:E323"/>
    <mergeCell ref="B254:E254"/>
    <mergeCell ref="B387:E387"/>
    <mergeCell ref="A324:E324"/>
    <mergeCell ref="B326:E326"/>
    <mergeCell ref="A516:E516"/>
    <mergeCell ref="A517:E517"/>
    <mergeCell ref="B519:E519"/>
    <mergeCell ref="A466:E466"/>
    <mergeCell ref="A467:E467"/>
    <mergeCell ref="B469:E469"/>
    <mergeCell ref="A384:E384"/>
  </mergeCells>
  <printOptions/>
  <pageMargins left="1.1811023622047245" right="0.5905511811023623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8">
      <selection activeCell="D72" sqref="D72:D73"/>
    </sheetView>
  </sheetViews>
  <sheetFormatPr defaultColWidth="9.140625" defaultRowHeight="15"/>
  <cols>
    <col min="1" max="1" width="4.140625" style="0" customWidth="1"/>
    <col min="2" max="2" width="26.28125" style="0" customWidth="1"/>
    <col min="3" max="3" width="10.28125" style="0" customWidth="1"/>
    <col min="4" max="4" width="10.421875" style="0" customWidth="1"/>
    <col min="5" max="5" width="12.00390625" style="0" customWidth="1"/>
    <col min="6" max="6" width="10.28125" style="0" customWidth="1"/>
    <col min="8" max="8" width="10.7109375" style="0" customWidth="1"/>
    <col min="9" max="9" width="13.421875" style="0" customWidth="1"/>
    <col min="10" max="10" width="14.28125" style="0" customWidth="1"/>
  </cols>
  <sheetData>
    <row r="1" spans="1:10" ht="15" hidden="1">
      <c r="A1" s="491" t="s">
        <v>214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5" hidden="1">
      <c r="A2" s="490" t="s">
        <v>215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15" hidden="1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 hidden="1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5.75" hidden="1">
      <c r="A5" s="165"/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5.75" hidden="1">
      <c r="A6" s="165"/>
      <c r="B6" s="489" t="s">
        <v>196</v>
      </c>
      <c r="C6" s="489"/>
      <c r="D6" s="489"/>
      <c r="E6" s="489"/>
      <c r="F6" s="489"/>
      <c r="G6" s="489"/>
      <c r="H6" s="489"/>
      <c r="I6" s="489"/>
      <c r="J6" s="489"/>
    </row>
    <row r="7" spans="1:10" ht="15.75" hidden="1">
      <c r="A7" s="493" t="s">
        <v>197</v>
      </c>
      <c r="B7" s="493"/>
      <c r="C7" s="493"/>
      <c r="D7" s="493"/>
      <c r="E7" s="493"/>
      <c r="F7" s="493"/>
      <c r="G7" s="493"/>
      <c r="H7" s="493"/>
      <c r="I7" s="493"/>
      <c r="J7" s="493"/>
    </row>
    <row r="8" spans="1:10" ht="15" hidden="1">
      <c r="A8" s="167"/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" hidden="1">
      <c r="A9" s="167"/>
      <c r="B9" s="167"/>
      <c r="C9" s="167"/>
      <c r="D9" s="167"/>
      <c r="E9" s="167"/>
      <c r="F9" s="167"/>
      <c r="G9" s="167"/>
      <c r="H9" s="167"/>
      <c r="I9" s="167"/>
      <c r="J9" s="167"/>
    </row>
    <row r="10" spans="1:10" ht="15.75" hidden="1" thickBot="1">
      <c r="A10" s="168"/>
      <c r="B10" s="167"/>
      <c r="C10" s="167"/>
      <c r="D10" s="168"/>
      <c r="E10" s="169"/>
      <c r="F10" s="167"/>
      <c r="G10" s="167"/>
      <c r="H10" s="167"/>
      <c r="I10" s="167"/>
      <c r="J10" s="167"/>
    </row>
    <row r="11" spans="1:10" ht="15" hidden="1">
      <c r="A11" s="199"/>
      <c r="B11" s="200"/>
      <c r="C11" s="494" t="s">
        <v>198</v>
      </c>
      <c r="D11" s="494"/>
      <c r="E11" s="201" t="s">
        <v>199</v>
      </c>
      <c r="F11" s="202" t="s">
        <v>200</v>
      </c>
      <c r="G11" s="203"/>
      <c r="H11" s="204"/>
      <c r="I11" s="205"/>
      <c r="J11" s="206" t="s">
        <v>201</v>
      </c>
    </row>
    <row r="12" spans="1:10" ht="15" hidden="1">
      <c r="A12" s="207"/>
      <c r="B12" s="198"/>
      <c r="C12" s="495" t="s">
        <v>202</v>
      </c>
      <c r="D12" s="495"/>
      <c r="E12" s="170" t="s">
        <v>203</v>
      </c>
      <c r="F12" s="171" t="s">
        <v>204</v>
      </c>
      <c r="G12" s="87" t="s">
        <v>205</v>
      </c>
      <c r="H12" s="87" t="s">
        <v>206</v>
      </c>
      <c r="I12" s="87" t="s">
        <v>207</v>
      </c>
      <c r="J12" s="208" t="s">
        <v>208</v>
      </c>
    </row>
    <row r="13" spans="1:10" ht="15" hidden="1">
      <c r="A13" s="207"/>
      <c r="B13" s="198"/>
      <c r="C13" s="172" t="s">
        <v>209</v>
      </c>
      <c r="D13" s="87" t="s">
        <v>162</v>
      </c>
      <c r="E13" s="170" t="s">
        <v>147</v>
      </c>
      <c r="F13" s="171" t="s">
        <v>210</v>
      </c>
      <c r="G13" s="171" t="s">
        <v>162</v>
      </c>
      <c r="H13" s="171" t="s">
        <v>163</v>
      </c>
      <c r="I13" s="171" t="s">
        <v>210</v>
      </c>
      <c r="J13" s="208" t="s">
        <v>211</v>
      </c>
    </row>
    <row r="14" spans="1:10" ht="15" hidden="1">
      <c r="A14" s="207"/>
      <c r="B14" s="198"/>
      <c r="C14" s="173" t="s">
        <v>212</v>
      </c>
      <c r="D14" s="173" t="s">
        <v>140</v>
      </c>
      <c r="E14" s="170" t="s">
        <v>142</v>
      </c>
      <c r="F14" s="171" t="s">
        <v>142</v>
      </c>
      <c r="G14" s="171" t="s">
        <v>140</v>
      </c>
      <c r="H14" s="171" t="s">
        <v>129</v>
      </c>
      <c r="I14" s="171" t="s">
        <v>142</v>
      </c>
      <c r="J14" s="208" t="s">
        <v>142</v>
      </c>
    </row>
    <row r="15" spans="1:10" ht="15" hidden="1">
      <c r="A15" s="209"/>
      <c r="B15" s="174"/>
      <c r="C15" s="175"/>
      <c r="D15" s="175"/>
      <c r="E15" s="176"/>
      <c r="F15" s="177"/>
      <c r="G15" s="177"/>
      <c r="H15" s="177"/>
      <c r="I15" s="177"/>
      <c r="J15" s="210"/>
    </row>
    <row r="16" spans="1:10" ht="15" hidden="1">
      <c r="A16" s="211" t="s">
        <v>13</v>
      </c>
      <c r="B16" s="178" t="s">
        <v>24</v>
      </c>
      <c r="C16" s="228">
        <f>D16/D21</f>
        <v>0.8045830400104086</v>
      </c>
      <c r="D16" s="179">
        <v>3463.03</v>
      </c>
      <c r="E16" s="180"/>
      <c r="F16" s="181" t="e">
        <f>Lapas3!#REF!</f>
        <v>#REF!</v>
      </c>
      <c r="G16" s="181"/>
      <c r="H16" s="181"/>
      <c r="I16" s="181">
        <v>340.28</v>
      </c>
      <c r="J16" s="212" t="e">
        <f>SUM(F16:I16)</f>
        <v>#REF!</v>
      </c>
    </row>
    <row r="17" spans="1:10" ht="15" hidden="1">
      <c r="A17" s="211" t="s">
        <v>60</v>
      </c>
      <c r="B17" s="178" t="s">
        <v>216</v>
      </c>
      <c r="C17" s="228">
        <f>D17/D21</f>
        <v>0.11825850984984189</v>
      </c>
      <c r="D17" s="179">
        <v>509</v>
      </c>
      <c r="E17" s="182">
        <v>774.63</v>
      </c>
      <c r="F17" s="183"/>
      <c r="G17" s="183"/>
      <c r="H17" s="183"/>
      <c r="I17" s="183"/>
      <c r="J17" s="213">
        <f>E17</f>
        <v>774.63</v>
      </c>
    </row>
    <row r="18" spans="1:10" ht="15" hidden="1">
      <c r="A18" s="211" t="s">
        <v>72</v>
      </c>
      <c r="B18" s="178" t="s">
        <v>32</v>
      </c>
      <c r="C18" s="228">
        <f>D18/D21</f>
        <v>0.0771584501397495</v>
      </c>
      <c r="D18" s="179">
        <f>D19+D20</f>
        <v>332.1</v>
      </c>
      <c r="E18" s="182">
        <v>522.49</v>
      </c>
      <c r="F18" s="184">
        <f>'[1]pirktas_kuras'!E49</f>
        <v>366.7073769131658</v>
      </c>
      <c r="G18" s="185">
        <f>'[1]pirktas_kuras'!E25+'[1]pirktas_kuras'!E31+'[1]pirktas_kuras'!E40+'[1]pirktas_kuras'!E46</f>
        <v>36.489585</v>
      </c>
      <c r="H18" s="185">
        <f>'[1]pirktas_kuras'!E34</f>
        <v>4.455</v>
      </c>
      <c r="I18" s="184">
        <f>H18/G18*1000</f>
        <v>122.08963187715071</v>
      </c>
      <c r="J18" s="214">
        <f>F18+I18</f>
        <v>488.79700879031645</v>
      </c>
    </row>
    <row r="19" spans="1:10" ht="15" hidden="1">
      <c r="A19" s="215"/>
      <c r="B19" s="196" t="s">
        <v>217</v>
      </c>
      <c r="C19" s="186"/>
      <c r="D19" s="226">
        <v>106.1</v>
      </c>
      <c r="E19" s="187"/>
      <c r="F19" s="188"/>
      <c r="G19" s="188"/>
      <c r="H19" s="189"/>
      <c r="I19" s="188"/>
      <c r="J19" s="216"/>
    </row>
    <row r="20" spans="1:10" ht="15" hidden="1">
      <c r="A20" s="217"/>
      <c r="B20" s="197" t="s">
        <v>218</v>
      </c>
      <c r="C20" s="190"/>
      <c r="D20" s="227">
        <v>226</v>
      </c>
      <c r="E20" s="191"/>
      <c r="F20" s="192"/>
      <c r="G20" s="192"/>
      <c r="H20" s="193"/>
      <c r="I20" s="192"/>
      <c r="J20" s="218"/>
    </row>
    <row r="21" spans="1:10" ht="15.75" hidden="1" thickBot="1">
      <c r="A21" s="219"/>
      <c r="B21" s="220" t="s">
        <v>213</v>
      </c>
      <c r="C21" s="221">
        <f>SUM(C16:C20)</f>
        <v>1</v>
      </c>
      <c r="D21" s="222">
        <f>D16+D17+D18</f>
        <v>4304.13</v>
      </c>
      <c r="E21" s="223"/>
      <c r="F21" s="223"/>
      <c r="G21" s="223"/>
      <c r="H21" s="224"/>
      <c r="I21" s="223"/>
      <c r="J21" s="225"/>
    </row>
    <row r="22" spans="1:10" ht="15" hidden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</row>
    <row r="23" spans="1:10" ht="15" hidden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</row>
    <row r="24" spans="1:10" ht="15" hidden="1">
      <c r="A24" s="167"/>
      <c r="B24" s="194"/>
      <c r="C24" s="195"/>
      <c r="D24" s="195"/>
      <c r="E24" s="195"/>
      <c r="F24" s="195"/>
      <c r="G24" s="195"/>
      <c r="H24" s="195"/>
      <c r="I24" s="195"/>
      <c r="J24" s="195"/>
    </row>
    <row r="25" spans="1:10" ht="15" hidden="1">
      <c r="A25" s="167"/>
      <c r="B25" s="194" t="s">
        <v>189</v>
      </c>
      <c r="C25" s="194"/>
      <c r="D25" s="194"/>
      <c r="E25" s="194"/>
      <c r="F25" s="194"/>
      <c r="G25" s="194"/>
      <c r="H25" s="194"/>
      <c r="I25" s="194" t="s">
        <v>190</v>
      </c>
      <c r="J25" s="167"/>
    </row>
    <row r="26" spans="1:10" ht="15" hidden="1">
      <c r="A26" s="167"/>
      <c r="B26" s="195"/>
      <c r="C26" s="195"/>
      <c r="D26" s="195"/>
      <c r="E26" s="195"/>
      <c r="F26" s="195"/>
      <c r="G26" s="195"/>
      <c r="H26" s="195"/>
      <c r="I26" s="195"/>
      <c r="J26" s="195"/>
    </row>
    <row r="27" spans="1:10" ht="15" hidden="1">
      <c r="A27" s="167"/>
      <c r="B27" s="195"/>
      <c r="C27" s="167"/>
      <c r="D27" s="167"/>
      <c r="E27" s="167"/>
      <c r="F27" s="195"/>
      <c r="G27" s="195"/>
      <c r="H27" s="195"/>
      <c r="I27" s="195"/>
      <c r="J27" s="195"/>
    </row>
    <row r="28" spans="1:10" ht="15" hidden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ht="15" hidden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</row>
    <row r="30" spans="1:10" ht="15" hidden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</row>
    <row r="31" spans="1:10" ht="15" hidden="1">
      <c r="A31" s="167"/>
      <c r="B31" s="195" t="s">
        <v>167</v>
      </c>
      <c r="C31" s="167"/>
      <c r="D31" s="167"/>
      <c r="E31" s="167"/>
      <c r="F31" s="167"/>
      <c r="G31" s="167"/>
      <c r="H31" s="167"/>
      <c r="I31" s="167"/>
      <c r="J31" s="167"/>
    </row>
    <row r="32" spans="1:10" ht="15" hidden="1">
      <c r="A32" s="167"/>
      <c r="C32" s="167"/>
      <c r="D32" s="167"/>
      <c r="E32" s="167"/>
      <c r="F32" s="167"/>
      <c r="G32" s="167"/>
      <c r="H32" s="167"/>
      <c r="I32" s="167"/>
      <c r="J32" s="167"/>
    </row>
    <row r="33" ht="15" hidden="1"/>
    <row r="34" ht="15" hidden="1"/>
  </sheetData>
  <sheetProtection/>
  <mergeCells count="6">
    <mergeCell ref="A1:J1"/>
    <mergeCell ref="A2:J2"/>
    <mergeCell ref="B6:J6"/>
    <mergeCell ref="A7:J7"/>
    <mergeCell ref="C11:D11"/>
    <mergeCell ref="C12:D12"/>
  </mergeCells>
  <printOptions/>
  <pageMargins left="0.7874015748031497" right="0.7874015748031497" top="1.1811023622047245" bottom="0.5905511811023623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Naudotojas</dc:creator>
  <cp:keywords/>
  <dc:description/>
  <cp:lastModifiedBy>Naudotojas</cp:lastModifiedBy>
  <cp:lastPrinted>2014-11-18T09:17:46Z</cp:lastPrinted>
  <dcterms:created xsi:type="dcterms:W3CDTF">2013-07-23T12:08:15Z</dcterms:created>
  <dcterms:modified xsi:type="dcterms:W3CDTF">2014-11-18T09:19:05Z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