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Desktop\Rasius sudeikis\"/>
    </mc:Choice>
  </mc:AlternateContent>
  <bookViews>
    <workbookView xWindow="0" yWindow="0" windowWidth="11160" windowHeight="7515"/>
  </bookViews>
  <sheets>
    <sheet name="Silumos kaina" sheetId="1" r:id="rId1"/>
    <sheet name="KV kaina" sheetId="2" r:id="rId2"/>
    <sheet name="Lapas3" sheetId="3" state="hidden" r:id="rId3"/>
    <sheet name="Lapas4" sheetId="4" state="hidden" r:id="rId4"/>
    <sheet name="Kuro struktūra" sheetId="6" r:id="rId5"/>
  </sheets>
  <calcPr calcId="152511"/>
</workbook>
</file>

<file path=xl/calcChain.xml><?xml version="1.0" encoding="utf-8"?>
<calcChain xmlns="http://schemas.openxmlformats.org/spreadsheetml/2006/main">
  <c r="K10" i="6" l="1"/>
  <c r="E2752" i="1"/>
  <c r="E2751" i="1"/>
  <c r="E2747" i="1"/>
  <c r="E2756" i="1"/>
  <c r="E2755" i="1"/>
  <c r="E2759" i="1"/>
  <c r="E2764" i="1"/>
  <c r="E2763" i="1"/>
  <c r="E2765" i="1" s="1"/>
  <c r="E2771" i="1"/>
  <c r="E2767" i="1"/>
  <c r="V11" i="6"/>
  <c r="V10" i="6"/>
  <c r="V9" i="6"/>
  <c r="V8" i="6"/>
  <c r="V7" i="6"/>
  <c r="V6" i="6"/>
  <c r="V5" i="6"/>
  <c r="N5" i="6"/>
  <c r="N6" i="6"/>
  <c r="N7" i="6"/>
  <c r="N8" i="6"/>
  <c r="N9" i="6"/>
  <c r="N10" i="6"/>
  <c r="N11" i="6"/>
  <c r="F4" i="6"/>
  <c r="E7" i="6"/>
  <c r="D4" i="6"/>
  <c r="E4" i="6"/>
  <c r="E11" i="6"/>
  <c r="E9" i="6"/>
  <c r="D12" i="6"/>
  <c r="E6" i="6"/>
  <c r="F12" i="6"/>
  <c r="E8" i="6"/>
  <c r="E10" i="6"/>
  <c r="E12" i="6"/>
  <c r="G4" i="6"/>
  <c r="H4" i="6"/>
  <c r="G10" i="6"/>
  <c r="H10" i="6"/>
  <c r="G6" i="6"/>
  <c r="H6" i="6"/>
  <c r="G9" i="6"/>
  <c r="H9" i="6"/>
  <c r="G8" i="6"/>
  <c r="H8" i="6"/>
  <c r="G11" i="6"/>
  <c r="H11" i="6"/>
  <c r="G7" i="6"/>
  <c r="H7" i="6"/>
  <c r="H5" i="6"/>
  <c r="H12" i="6"/>
  <c r="G12" i="6"/>
  <c r="I4" i="6"/>
  <c r="I8" i="6"/>
  <c r="I10" i="6"/>
  <c r="I9" i="6"/>
  <c r="I6" i="6"/>
  <c r="I7" i="6"/>
  <c r="I11" i="6"/>
  <c r="I12" i="6"/>
  <c r="E2778" i="1"/>
  <c r="E2749" i="1"/>
  <c r="E2753" i="1"/>
  <c r="E2757" i="1"/>
  <c r="E2761" i="1"/>
  <c r="E2769" i="1"/>
  <c r="E2773" i="1"/>
  <c r="E1113" i="2"/>
  <c r="E1117" i="2"/>
  <c r="E1123" i="2"/>
  <c r="E1124" i="2"/>
  <c r="E1125" i="2"/>
  <c r="E2668" i="1"/>
  <c r="E2651" i="1"/>
  <c r="E2659" i="1"/>
  <c r="E2655" i="1"/>
  <c r="E2663" i="1"/>
  <c r="E1082" i="2"/>
  <c r="E1083" i="2"/>
  <c r="E1084" i="2"/>
  <c r="E1072" i="2"/>
  <c r="E1076" i="2"/>
  <c r="E2566" i="1"/>
  <c r="E2561" i="1"/>
  <c r="E2543" i="1"/>
  <c r="E2567" i="1"/>
  <c r="E2557" i="1"/>
  <c r="E2553" i="1"/>
  <c r="E2549" i="1"/>
  <c r="E1042" i="2"/>
  <c r="E1043" i="2"/>
  <c r="E1044" i="2"/>
  <c r="E1032" i="2"/>
  <c r="E1036" i="2"/>
  <c r="E1039" i="2"/>
  <c r="E2480" i="1"/>
  <c r="E2475" i="1"/>
  <c r="E2471" i="1"/>
  <c r="E2467" i="1"/>
  <c r="E2463" i="1"/>
  <c r="E1003" i="2"/>
  <c r="E1004" i="2"/>
  <c r="E1005" i="2"/>
  <c r="E993" i="2"/>
  <c r="E997" i="2"/>
  <c r="E2380" i="1"/>
  <c r="E2393" i="1"/>
  <c r="E2376" i="1"/>
  <c r="E2384" i="1"/>
  <c r="E2388" i="1"/>
  <c r="E963" i="2"/>
  <c r="E964" i="2"/>
  <c r="E965" i="2"/>
  <c r="E953" i="2"/>
  <c r="E957" i="2"/>
  <c r="E958" i="2"/>
  <c r="E2306" i="1"/>
  <c r="E2289" i="1"/>
  <c r="E2297" i="1"/>
  <c r="E2301" i="1"/>
  <c r="E2219" i="1"/>
  <c r="E2202" i="1"/>
  <c r="E2210" i="1"/>
  <c r="E2214" i="1"/>
  <c r="E923" i="2"/>
  <c r="E924" i="2"/>
  <c r="E925" i="2"/>
  <c r="E913" i="2"/>
  <c r="E917" i="2"/>
  <c r="E881" i="2"/>
  <c r="E882" i="2"/>
  <c r="E883" i="2"/>
  <c r="E871" i="2"/>
  <c r="E875" i="2"/>
  <c r="E878" i="2"/>
  <c r="E2120" i="1"/>
  <c r="E2129" i="1"/>
  <c r="E2124" i="1"/>
  <c r="E2112" i="1"/>
  <c r="E840" i="2"/>
  <c r="E841" i="2"/>
  <c r="E827" i="2"/>
  <c r="E831" i="2"/>
  <c r="E832" i="2"/>
  <c r="E836" i="2"/>
  <c r="E2039" i="1"/>
  <c r="E2034" i="1"/>
  <c r="E2022" i="1"/>
  <c r="E2016" i="1"/>
  <c r="E2014" i="1"/>
  <c r="E2048" i="1"/>
  <c r="E796" i="2"/>
  <c r="E797" i="2"/>
  <c r="E783" i="2"/>
  <c r="E787" i="2"/>
  <c r="E792" i="2"/>
  <c r="E1944" i="1"/>
  <c r="E1949" i="1"/>
  <c r="E1932" i="1"/>
  <c r="E753" i="2"/>
  <c r="E755" i="2"/>
  <c r="E748" i="2"/>
  <c r="E743" i="2"/>
  <c r="E1859" i="1"/>
  <c r="E1842" i="1"/>
  <c r="E1836" i="1"/>
  <c r="E709" i="2"/>
  <c r="E711" i="2"/>
  <c r="E708" i="2"/>
  <c r="E702" i="2"/>
  <c r="E697" i="2"/>
  <c r="E703" i="2"/>
  <c r="E1775" i="1"/>
  <c r="E1766" i="1"/>
  <c r="E1749" i="1"/>
  <c r="E1743" i="1"/>
  <c r="E661" i="2"/>
  <c r="E1661" i="1"/>
  <c r="E1662" i="1"/>
  <c r="E1656" i="1"/>
  <c r="E667" i="2"/>
  <c r="E652" i="2"/>
  <c r="E668" i="2"/>
  <c r="E670" i="2"/>
  <c r="E671" i="2"/>
  <c r="E656" i="2"/>
  <c r="E658" i="2"/>
  <c r="E659" i="2"/>
  <c r="E1688" i="1"/>
  <c r="E1655" i="1"/>
  <c r="E1679" i="1"/>
  <c r="E626" i="2"/>
  <c r="E628" i="2"/>
  <c r="E629" i="2"/>
  <c r="E625" i="2"/>
  <c r="E623" i="2"/>
  <c r="E615" i="2"/>
  <c r="E617" i="2"/>
  <c r="E618" i="2"/>
  <c r="E611" i="2"/>
  <c r="E609" i="2"/>
  <c r="E1610" i="1"/>
  <c r="E1611" i="1"/>
  <c r="E1598" i="1"/>
  <c r="E1589" i="1"/>
  <c r="E1582" i="1"/>
  <c r="E1572" i="1"/>
  <c r="E1566" i="1"/>
  <c r="E1565" i="1"/>
  <c r="E586" i="2"/>
  <c r="E588" i="2"/>
  <c r="E589" i="2"/>
  <c r="E585" i="2"/>
  <c r="E583" i="2"/>
  <c r="E575" i="2"/>
  <c r="E576" i="2"/>
  <c r="E571" i="2"/>
  <c r="E569" i="2"/>
  <c r="E1520" i="1"/>
  <c r="E1523" i="1"/>
  <c r="E1508" i="1"/>
  <c r="E1499" i="1"/>
  <c r="E1492" i="1"/>
  <c r="E1482" i="1"/>
  <c r="E1476" i="1"/>
  <c r="E1475" i="1"/>
  <c r="E545" i="2"/>
  <c r="E546" i="2"/>
  <c r="E547" i="2"/>
  <c r="E543" i="2"/>
  <c r="E531" i="2"/>
  <c r="E529" i="2"/>
  <c r="E1418" i="1"/>
  <c r="E1409" i="1"/>
  <c r="E1402" i="1"/>
  <c r="E1392" i="1"/>
  <c r="E1386" i="1"/>
  <c r="E1385" i="1"/>
  <c r="E504" i="2"/>
  <c r="E505" i="2"/>
  <c r="E490" i="2"/>
  <c r="E495" i="2"/>
  <c r="E503" i="2"/>
  <c r="E489" i="2"/>
  <c r="E1343" i="1"/>
  <c r="E1344" i="1"/>
  <c r="E1341" i="1"/>
  <c r="E1328" i="1"/>
  <c r="E1319" i="1"/>
  <c r="E1312" i="1"/>
  <c r="E1302" i="1"/>
  <c r="E1296" i="1"/>
  <c r="E1295" i="1"/>
  <c r="E462" i="2"/>
  <c r="E448" i="2"/>
  <c r="E1251" i="1"/>
  <c r="E1238" i="1"/>
  <c r="E1205" i="1"/>
  <c r="F1252" i="1"/>
  <c r="F1250" i="1"/>
  <c r="E463" i="2"/>
  <c r="E465" i="2"/>
  <c r="E467" i="2"/>
  <c r="E449" i="2"/>
  <c r="E450" i="2"/>
  <c r="E1229" i="1"/>
  <c r="E1222" i="1"/>
  <c r="E1212" i="1"/>
  <c r="E1206" i="1"/>
  <c r="E424" i="2"/>
  <c r="E425" i="2"/>
  <c r="E426" i="2"/>
  <c r="E414" i="2"/>
  <c r="E418" i="2"/>
  <c r="E1135" i="1"/>
  <c r="E1128" i="1"/>
  <c r="E1118" i="1"/>
  <c r="E1113" i="1"/>
  <c r="E391" i="2"/>
  <c r="E392" i="2"/>
  <c r="E393" i="2"/>
  <c r="E381" i="2"/>
  <c r="E385" i="2"/>
  <c r="E1044" i="1"/>
  <c r="E1037" i="1"/>
  <c r="E1027" i="1"/>
  <c r="E1022" i="1"/>
  <c r="E358" i="2"/>
  <c r="E359" i="2"/>
  <c r="E360" i="2"/>
  <c r="E348" i="2"/>
  <c r="E352" i="2"/>
  <c r="E387" i="2"/>
  <c r="G350" i="2"/>
  <c r="G349" i="2"/>
  <c r="G348" i="2"/>
  <c r="E953" i="1"/>
  <c r="E946" i="1"/>
  <c r="F939" i="1"/>
  <c r="F938" i="1"/>
  <c r="F937" i="1"/>
  <c r="E936" i="1"/>
  <c r="G317" i="2"/>
  <c r="G316" i="2"/>
  <c r="G315" i="2"/>
  <c r="G318" i="2"/>
  <c r="E325" i="2"/>
  <c r="E326" i="2"/>
  <c r="E327" i="2"/>
  <c r="E315" i="2"/>
  <c r="E319" i="2"/>
  <c r="E320" i="2"/>
  <c r="F848" i="1"/>
  <c r="F846" i="1"/>
  <c r="F847" i="1"/>
  <c r="E862" i="1"/>
  <c r="E855" i="1"/>
  <c r="E845" i="1"/>
  <c r="E293" i="2"/>
  <c r="E294" i="2"/>
  <c r="E286" i="2"/>
  <c r="E287" i="2"/>
  <c r="E789" i="1"/>
  <c r="E791" i="1"/>
  <c r="D540" i="3"/>
  <c r="D542" i="3"/>
  <c r="D534" i="3"/>
  <c r="D536" i="3"/>
  <c r="D528" i="3"/>
  <c r="E771" i="1"/>
  <c r="E764" i="1"/>
  <c r="E258" i="2"/>
  <c r="E259" i="2"/>
  <c r="E260" i="2"/>
  <c r="E252" i="2"/>
  <c r="E253" i="2"/>
  <c r="D490" i="3"/>
  <c r="D492" i="3"/>
  <c r="D484" i="3"/>
  <c r="D486" i="3"/>
  <c r="D478" i="3"/>
  <c r="E680" i="1"/>
  <c r="E673" i="1"/>
  <c r="E223" i="2"/>
  <c r="E224" i="2"/>
  <c r="E225" i="2"/>
  <c r="D402" i="3"/>
  <c r="D404" i="3"/>
  <c r="D440" i="3"/>
  <c r="D429" i="3"/>
  <c r="D431" i="3"/>
  <c r="D419" i="3"/>
  <c r="D410" i="3"/>
  <c r="D397" i="3"/>
  <c r="D395" i="3"/>
  <c r="D396" i="3"/>
  <c r="E217" i="2"/>
  <c r="E218" i="2"/>
  <c r="E589" i="1"/>
  <c r="E582" i="1"/>
  <c r="E571" i="1"/>
  <c r="E190" i="2"/>
  <c r="E191" i="2"/>
  <c r="E192" i="2"/>
  <c r="E184" i="2"/>
  <c r="E185" i="2"/>
  <c r="E494" i="1"/>
  <c r="E487" i="1"/>
  <c r="E480" i="1"/>
  <c r="D379" i="3"/>
  <c r="D369" i="3"/>
  <c r="D370" i="3"/>
  <c r="D368" i="3"/>
  <c r="D358" i="3"/>
  <c r="D349" i="3"/>
  <c r="D336" i="3"/>
  <c r="D335" i="3"/>
  <c r="E158" i="2"/>
  <c r="E159" i="2"/>
  <c r="E393" i="1"/>
  <c r="E392" i="1"/>
  <c r="D297" i="3"/>
  <c r="D298" i="3"/>
  <c r="D296" i="3"/>
  <c r="D291" i="3"/>
  <c r="D292" i="3"/>
  <c r="D286" i="3"/>
  <c r="D269" i="3"/>
  <c r="D271" i="3"/>
  <c r="E396" i="1"/>
  <c r="D307" i="3"/>
  <c r="D277" i="3"/>
  <c r="D264" i="3"/>
  <c r="D263" i="3"/>
  <c r="E388" i="1"/>
  <c r="E390" i="1"/>
  <c r="E403" i="1"/>
  <c r="E389" i="1"/>
  <c r="E151" i="2"/>
  <c r="E152" i="2"/>
  <c r="G126" i="2"/>
  <c r="E336" i="1"/>
  <c r="E337" i="1"/>
  <c r="E335" i="1"/>
  <c r="E298" i="1"/>
  <c r="E120" i="2"/>
  <c r="E312" i="1"/>
  <c r="D222" i="3"/>
  <c r="D197" i="3"/>
  <c r="D198" i="3"/>
  <c r="D196" i="3"/>
  <c r="D241" i="3"/>
  <c r="D211" i="3"/>
  <c r="D203" i="3"/>
  <c r="E244" i="1"/>
  <c r="E246" i="1"/>
  <c r="E245" i="1"/>
  <c r="D176" i="3"/>
  <c r="D178" i="3"/>
  <c r="D173" i="3"/>
  <c r="D160" i="3"/>
  <c r="D161" i="3"/>
  <c r="D155" i="3"/>
  <c r="D157" i="3"/>
  <c r="D144" i="3"/>
  <c r="D146" i="3"/>
  <c r="D138" i="3"/>
  <c r="D133" i="3"/>
  <c r="D132" i="3"/>
  <c r="D131" i="3"/>
  <c r="E208" i="1"/>
  <c r="E221" i="1"/>
  <c r="E88" i="2"/>
  <c r="E155" i="1"/>
  <c r="E154" i="1"/>
  <c r="E53" i="2"/>
  <c r="E130" i="1"/>
  <c r="D95" i="3"/>
  <c r="D97" i="3"/>
  <c r="D100" i="3"/>
  <c r="D82" i="3"/>
  <c r="D84" i="3"/>
  <c r="D86" i="3"/>
  <c r="D87" i="3"/>
  <c r="D116" i="3"/>
  <c r="D118" i="3"/>
  <c r="D113" i="3"/>
  <c r="D78" i="3"/>
  <c r="D73" i="3"/>
  <c r="D71" i="3"/>
  <c r="D72" i="3"/>
  <c r="E39" i="1"/>
  <c r="E26" i="1"/>
  <c r="F16" i="4"/>
  <c r="J16" i="4"/>
  <c r="D35" i="3"/>
  <c r="D37" i="3"/>
  <c r="D48" i="3"/>
  <c r="E30" i="1"/>
  <c r="E21" i="1"/>
  <c r="D40" i="3"/>
  <c r="D24" i="3"/>
  <c r="D26" i="3"/>
  <c r="D28" i="3"/>
  <c r="D31" i="3"/>
  <c r="D18" i="4"/>
  <c r="I18" i="4"/>
  <c r="J17" i="4"/>
  <c r="E24" i="2"/>
  <c r="E25" i="2"/>
  <c r="D56" i="3"/>
  <c r="D58" i="3"/>
  <c r="D53" i="3"/>
  <c r="D18" i="3"/>
  <c r="D13" i="3"/>
  <c r="D12" i="3"/>
  <c r="D262" i="3"/>
  <c r="E297" i="1"/>
  <c r="E299" i="1"/>
  <c r="E294" i="1"/>
  <c r="E1253" i="1"/>
  <c r="E1254" i="1"/>
  <c r="E535" i="2"/>
  <c r="E537" i="2"/>
  <c r="E538" i="2"/>
  <c r="E661" i="1"/>
  <c r="E663" i="1"/>
  <c r="E658" i="1"/>
  <c r="D477" i="3"/>
  <c r="D11" i="3"/>
  <c r="E506" i="2"/>
  <c r="E508" i="2"/>
  <c r="E464" i="2"/>
  <c r="E254" i="2"/>
  <c r="F465" i="2"/>
  <c r="E620" i="2"/>
  <c r="E491" i="2"/>
  <c r="E657" i="2"/>
  <c r="E479" i="1"/>
  <c r="E481" i="1"/>
  <c r="E476" i="1"/>
  <c r="D334" i="3"/>
  <c r="D21" i="4"/>
  <c r="E580" i="2"/>
  <c r="E1345" i="1"/>
  <c r="E1346" i="1"/>
  <c r="E669" i="2"/>
  <c r="E570" i="1"/>
  <c r="C17" i="4"/>
  <c r="C18" i="4"/>
  <c r="C16" i="4"/>
  <c r="C21" i="4"/>
  <c r="J18" i="4"/>
  <c r="E1613" i="1"/>
  <c r="E1614" i="1"/>
  <c r="E1707" i="1"/>
  <c r="E1708" i="1"/>
  <c r="E355" i="2"/>
  <c r="E960" i="2"/>
  <c r="E454" i="2"/>
  <c r="E616" i="2"/>
  <c r="G351" i="2"/>
  <c r="E1255" i="1"/>
  <c r="F1255" i="1"/>
  <c r="E1347" i="1"/>
  <c r="E1349" i="1"/>
  <c r="F1253" i="1"/>
  <c r="E752" i="1"/>
  <c r="E754" i="1"/>
  <c r="E749" i="1"/>
  <c r="D527" i="3"/>
  <c r="E744" i="2"/>
  <c r="E749" i="2"/>
  <c r="E745" i="2"/>
  <c r="E746" i="2"/>
  <c r="E499" i="2"/>
  <c r="F499" i="2"/>
  <c r="E840" i="1"/>
  <c r="E838" i="1"/>
  <c r="E870" i="1"/>
  <c r="E868" i="1"/>
  <c r="F845" i="1"/>
  <c r="E931" i="1"/>
  <c r="E929" i="1"/>
  <c r="E961" i="1"/>
  <c r="F936" i="1"/>
  <c r="E153" i="2"/>
  <c r="E121" i="2"/>
  <c r="E507" i="2"/>
  <c r="E117" i="1"/>
  <c r="E122" i="2"/>
  <c r="E123" i="2"/>
  <c r="E89" i="2"/>
  <c r="F454" i="2"/>
  <c r="E456" i="2"/>
  <c r="E457" i="2"/>
  <c r="E455" i="2"/>
  <c r="E954" i="1"/>
  <c r="E957" i="1"/>
  <c r="E833" i="2"/>
  <c r="E834" i="2"/>
  <c r="E154" i="2"/>
  <c r="E587" i="2"/>
  <c r="E322" i="2"/>
  <c r="E876" i="2"/>
  <c r="E548" i="2"/>
  <c r="E549" i="2"/>
  <c r="E788" i="2"/>
  <c r="E789" i="2"/>
  <c r="E790" i="2"/>
  <c r="F456" i="2"/>
  <c r="E662" i="2"/>
  <c r="E577" i="2"/>
  <c r="E578" i="2"/>
  <c r="E627" i="2"/>
  <c r="E219" i="2"/>
  <c r="E220" i="2"/>
  <c r="E255" i="2"/>
  <c r="E458" i="2"/>
  <c r="E419" i="2"/>
  <c r="E920" i="2"/>
  <c r="E918" i="2"/>
  <c r="E998" i="2"/>
  <c r="E1000" i="2"/>
  <c r="E509" i="2"/>
  <c r="F508" i="2"/>
  <c r="D168" i="3"/>
  <c r="E212" i="1"/>
  <c r="E203" i="1"/>
  <c r="D151" i="3"/>
  <c r="D148" i="3"/>
  <c r="D91" i="3"/>
  <c r="D88" i="3"/>
  <c r="D108" i="3"/>
  <c r="E121" i="1"/>
  <c r="E388" i="2"/>
  <c r="E386" i="2"/>
  <c r="E420" i="2"/>
  <c r="E421" i="2"/>
  <c r="E497" i="2"/>
  <c r="F495" i="2"/>
  <c r="E500" i="2"/>
  <c r="E496" i="2"/>
  <c r="E1079" i="2"/>
  <c r="E1077" i="2"/>
  <c r="F467" i="2"/>
  <c r="E468" i="2"/>
  <c r="E798" i="2"/>
  <c r="E799" i="2"/>
  <c r="E800" i="2"/>
  <c r="D41" i="3"/>
  <c r="D101" i="3"/>
  <c r="E843" i="2"/>
  <c r="E844" i="2"/>
  <c r="E842" i="2"/>
  <c r="E1120" i="2"/>
  <c r="E1118" i="2"/>
  <c r="E112" i="1"/>
  <c r="E131" i="1"/>
  <c r="F506" i="2"/>
  <c r="E353" i="2"/>
  <c r="E2283" i="1"/>
  <c r="E536" i="2"/>
  <c r="E837" i="2"/>
  <c r="E289" i="2"/>
  <c r="E1037" i="2"/>
  <c r="E698" i="2"/>
  <c r="E466" i="2"/>
  <c r="E793" i="2"/>
  <c r="E186" i="2"/>
  <c r="E187" i="2"/>
  <c r="E540" i="2"/>
  <c r="E699" i="2"/>
  <c r="E700" i="2"/>
  <c r="E1521" i="1"/>
  <c r="E2370" i="1"/>
  <c r="E1525" i="1"/>
  <c r="E1526" i="1"/>
  <c r="E1524" i="1"/>
  <c r="E1617" i="1"/>
  <c r="E1619" i="1"/>
  <c r="E863" i="1"/>
  <c r="E861" i="1"/>
  <c r="E394" i="1"/>
  <c r="E385" i="1"/>
  <c r="E1297" i="1"/>
  <c r="E1292" i="1"/>
  <c r="E1320" i="1"/>
  <c r="E866" i="1"/>
  <c r="E952" i="1"/>
  <c r="E2040" i="1"/>
  <c r="E2038" i="1"/>
  <c r="E2394" i="1"/>
  <c r="E2368" i="1"/>
  <c r="E2402" i="1"/>
  <c r="E2400" i="1"/>
  <c r="E2541" i="1"/>
  <c r="E2575" i="1"/>
  <c r="E1739" i="1"/>
  <c r="E1744" i="1"/>
  <c r="E1767" i="1"/>
  <c r="E1680" i="1"/>
  <c r="E1683" i="1"/>
  <c r="E1652" i="1"/>
  <c r="E1657" i="1"/>
  <c r="E110" i="1"/>
  <c r="E138" i="1"/>
  <c r="E136" i="1"/>
  <c r="E148" i="1"/>
  <c r="E150" i="1"/>
  <c r="E2052" i="1"/>
  <c r="E2046" i="1"/>
  <c r="E1111" i="1"/>
  <c r="E1143" i="1"/>
  <c r="E1136" i="1"/>
  <c r="E1562" i="1"/>
  <c r="E1590" i="1"/>
  <c r="E1567" i="1"/>
  <c r="E772" i="1"/>
  <c r="E770" i="1"/>
  <c r="E747" i="1"/>
  <c r="E779" i="1"/>
  <c r="E777" i="1"/>
  <c r="E873" i="1"/>
  <c r="E1256" i="1"/>
  <c r="E1615" i="1"/>
  <c r="E1616" i="1"/>
  <c r="E1437" i="1"/>
  <c r="E1438" i="1"/>
  <c r="E2106" i="1"/>
  <c r="E2104" i="1"/>
  <c r="E2138" i="1"/>
  <c r="E2196" i="1"/>
  <c r="E2194" i="1"/>
  <c r="E2228" i="1"/>
  <c r="E2645" i="1"/>
  <c r="E2643" i="1"/>
  <c r="E2677" i="1"/>
  <c r="E572" i="1"/>
  <c r="E567" i="1"/>
  <c r="E565" i="1"/>
  <c r="E2457" i="1"/>
  <c r="E1926" i="1"/>
  <c r="E1924" i="1"/>
  <c r="E1958" i="1"/>
  <c r="E2565" i="1"/>
  <c r="E2571" i="1"/>
  <c r="E880" i="1"/>
  <c r="E964" i="1"/>
  <c r="E959" i="1"/>
  <c r="E971" i="1"/>
  <c r="E1472" i="1"/>
  <c r="E1477" i="1"/>
  <c r="E1500" i="1"/>
  <c r="E474" i="1"/>
  <c r="E495" i="1"/>
  <c r="E292" i="1"/>
  <c r="E313" i="1"/>
  <c r="E1045" i="1"/>
  <c r="E1020" i="1"/>
  <c r="E1052" i="1"/>
  <c r="E1382" i="1"/>
  <c r="E1410" i="1"/>
  <c r="E1387" i="1"/>
  <c r="E1860" i="1"/>
  <c r="E1834" i="1"/>
  <c r="E1868" i="1"/>
  <c r="E2307" i="1"/>
  <c r="E2281" i="1"/>
  <c r="E2315" i="1"/>
  <c r="E2406" i="1"/>
  <c r="E40" i="1"/>
  <c r="E19" i="1"/>
  <c r="E656" i="1"/>
  <c r="E681" i="1"/>
  <c r="E679" i="1"/>
  <c r="E792" i="1"/>
  <c r="E884" i="1"/>
  <c r="E2455" i="1"/>
  <c r="E2489" i="1"/>
  <c r="E2481" i="1"/>
  <c r="E2573" i="1"/>
  <c r="E2579" i="1"/>
  <c r="E222" i="1"/>
  <c r="E201" i="1"/>
  <c r="E1202" i="1"/>
  <c r="E1230" i="1"/>
  <c r="E1207" i="1"/>
  <c r="E1348" i="1"/>
  <c r="E1618" i="1"/>
  <c r="E498" i="2"/>
  <c r="F497" i="2"/>
  <c r="E2220" i="1"/>
  <c r="F458" i="2"/>
  <c r="E459" i="2"/>
  <c r="E1950" i="1"/>
  <c r="E1948" i="1"/>
  <c r="E383" i="1"/>
  <c r="E404" i="1"/>
  <c r="E2044" i="1"/>
  <c r="E2060" i="1"/>
  <c r="E1318" i="1"/>
  <c r="E1323" i="1"/>
  <c r="E2669" i="1"/>
  <c r="E2667" i="1"/>
  <c r="E1293" i="1"/>
  <c r="E1329" i="1"/>
  <c r="E2392" i="1"/>
  <c r="E2414" i="1"/>
  <c r="E2398" i="1"/>
  <c r="E590" i="1"/>
  <c r="E588" i="1"/>
  <c r="E2130" i="1"/>
  <c r="E2587" i="1"/>
  <c r="E2589" i="1"/>
  <c r="E2590" i="1"/>
  <c r="E1146" i="1"/>
  <c r="E1141" i="1"/>
  <c r="E1765" i="1"/>
  <c r="E1770" i="1"/>
  <c r="E1593" i="1"/>
  <c r="E1588" i="1"/>
  <c r="E1139" i="1"/>
  <c r="E1134" i="1"/>
  <c r="E1678" i="1"/>
  <c r="E1563" i="1"/>
  <c r="E1599" i="1"/>
  <c r="E1653" i="1"/>
  <c r="E1689" i="1"/>
  <c r="E1776" i="1"/>
  <c r="E973" i="1"/>
  <c r="E349" i="2"/>
  <c r="E1419" i="1"/>
  <c r="E1383" i="1"/>
  <c r="E2675" i="1"/>
  <c r="E2681" i="1"/>
  <c r="E1954" i="1"/>
  <c r="E229" i="1"/>
  <c r="E227" i="1"/>
  <c r="E239" i="1"/>
  <c r="E597" i="1"/>
  <c r="E595" i="1"/>
  <c r="E607" i="1"/>
  <c r="E1858" i="1"/>
  <c r="E1864" i="1"/>
  <c r="E1055" i="1"/>
  <c r="E1050" i="1"/>
  <c r="E2224" i="1"/>
  <c r="E2218" i="1"/>
  <c r="E1498" i="1"/>
  <c r="E1503" i="1"/>
  <c r="E152" i="1"/>
  <c r="E151" i="1"/>
  <c r="E52" i="2"/>
  <c r="E56" i="2"/>
  <c r="E502" i="1"/>
  <c r="E500" i="1"/>
  <c r="E512" i="1"/>
  <c r="E885" i="1"/>
  <c r="E316" i="2"/>
  <c r="E882" i="1"/>
  <c r="E1956" i="1"/>
  <c r="E1962" i="1"/>
  <c r="E2479" i="1"/>
  <c r="E2485" i="1"/>
  <c r="E411" i="1"/>
  <c r="E409" i="1"/>
  <c r="E421" i="1"/>
  <c r="E2319" i="1"/>
  <c r="E2313" i="1"/>
  <c r="E1048" i="1"/>
  <c r="E1043" i="1"/>
  <c r="E2232" i="1"/>
  <c r="E2226" i="1"/>
  <c r="E1233" i="1"/>
  <c r="E1228" i="1"/>
  <c r="E2493" i="1"/>
  <c r="E2487" i="1"/>
  <c r="E688" i="1"/>
  <c r="E686" i="1"/>
  <c r="E698" i="1"/>
  <c r="E2311" i="1"/>
  <c r="E2305" i="1"/>
  <c r="E1408" i="1"/>
  <c r="E1413" i="1"/>
  <c r="E2673" i="1"/>
  <c r="E2142" i="1"/>
  <c r="E2136" i="1"/>
  <c r="E1473" i="1"/>
  <c r="E1509" i="1"/>
  <c r="E1239" i="1"/>
  <c r="E1203" i="1"/>
  <c r="E47" i="1"/>
  <c r="E45" i="1"/>
  <c r="E57" i="1"/>
  <c r="E59" i="1"/>
  <c r="E1872" i="1"/>
  <c r="E1866" i="1"/>
  <c r="E320" i="1"/>
  <c r="E318" i="1"/>
  <c r="E330" i="1"/>
  <c r="E332" i="1"/>
  <c r="E2134" i="1"/>
  <c r="E2128" i="1"/>
  <c r="E2062" i="1"/>
  <c r="E2064" i="1"/>
  <c r="E2068" i="1"/>
  <c r="E1153" i="1"/>
  <c r="E1155" i="1"/>
  <c r="E1257" i="1"/>
  <c r="E2150" i="1"/>
  <c r="E2155" i="1"/>
  <c r="E2592" i="1"/>
  <c r="E1325" i="1"/>
  <c r="E1326" i="1"/>
  <c r="E1330" i="1"/>
  <c r="E1333" i="1"/>
  <c r="E2419" i="1"/>
  <c r="E2416" i="1"/>
  <c r="E2417" i="1"/>
  <c r="E2501" i="1"/>
  <c r="E2503" i="1"/>
  <c r="E2504" i="1"/>
  <c r="E1156" i="1"/>
  <c r="E2327" i="1"/>
  <c r="E2329" i="1"/>
  <c r="E2330" i="1"/>
  <c r="E1600" i="1"/>
  <c r="E1595" i="1"/>
  <c r="E1596" i="1"/>
  <c r="E1603" i="1"/>
  <c r="E1685" i="1"/>
  <c r="E1690" i="1"/>
  <c r="E1693" i="1"/>
  <c r="E1062" i="1"/>
  <c r="E1067" i="1"/>
  <c r="E1780" i="1"/>
  <c r="E1777" i="1"/>
  <c r="E1772" i="1"/>
  <c r="E241" i="1"/>
  <c r="E85" i="2"/>
  <c r="E423" i="1"/>
  <c r="E700" i="1"/>
  <c r="E609" i="1"/>
  <c r="E214" i="2"/>
  <c r="E21" i="2"/>
  <c r="E26" i="2"/>
  <c r="E60" i="1"/>
  <c r="E1510" i="1"/>
  <c r="E1505" i="1"/>
  <c r="E1506" i="1"/>
  <c r="E1513" i="1"/>
  <c r="E59" i="2"/>
  <c r="E57" i="2"/>
  <c r="E91" i="2"/>
  <c r="E90" i="2"/>
  <c r="E1970" i="1"/>
  <c r="E974" i="1"/>
  <c r="E1066" i="1"/>
  <c r="E2689" i="1"/>
  <c r="E382" i="2"/>
  <c r="E2240" i="1"/>
  <c r="E514" i="1"/>
  <c r="E515" i="1"/>
  <c r="E181" i="2"/>
  <c r="E611" i="1"/>
  <c r="E612" i="1"/>
  <c r="E153" i="1"/>
  <c r="E58" i="2"/>
  <c r="E243" i="1"/>
  <c r="E1880" i="1"/>
  <c r="E1243" i="1"/>
  <c r="E1240" i="1"/>
  <c r="E1235" i="1"/>
  <c r="E1236" i="1"/>
  <c r="E2332" i="1"/>
  <c r="E975" i="1"/>
  <c r="E976" i="1"/>
  <c r="E883" i="1"/>
  <c r="E1420" i="1"/>
  <c r="E1415" i="1"/>
  <c r="E1423" i="1"/>
  <c r="E333" i="1"/>
  <c r="E425" i="1"/>
  <c r="E426" i="1"/>
  <c r="E117" i="2"/>
  <c r="E2152" i="1"/>
  <c r="E2153" i="1"/>
  <c r="E1064" i="1"/>
  <c r="E1157" i="1"/>
  <c r="E1158" i="1"/>
  <c r="E2506" i="1"/>
  <c r="E1700" i="1"/>
  <c r="E1686" i="1"/>
  <c r="E1259" i="1"/>
  <c r="F1257" i="1"/>
  <c r="E1258" i="1"/>
  <c r="E1773" i="1"/>
  <c r="E1787" i="1"/>
  <c r="E1065" i="1"/>
  <c r="E2245" i="1"/>
  <c r="E2242" i="1"/>
  <c r="E2243" i="1"/>
  <c r="E2691" i="1"/>
  <c r="E2694" i="1"/>
  <c r="E610" i="1"/>
  <c r="E702" i="1"/>
  <c r="E703" i="1"/>
  <c r="E516" i="1"/>
  <c r="E517" i="1"/>
  <c r="E424" i="1"/>
  <c r="E148" i="2"/>
  <c r="E1416" i="1"/>
  <c r="E1430" i="1"/>
  <c r="E1888" i="1"/>
  <c r="E1882" i="1"/>
  <c r="E1884" i="1"/>
  <c r="E793" i="1"/>
  <c r="E794" i="1"/>
  <c r="E701" i="1"/>
  <c r="E249" i="2"/>
  <c r="E1978" i="1"/>
  <c r="E1972" i="1"/>
  <c r="E1974" i="1"/>
  <c r="E334" i="1"/>
  <c r="E242" i="1"/>
  <c r="E1790" i="1"/>
  <c r="E1792" i="1"/>
  <c r="E1796" i="1"/>
  <c r="E1709" i="1"/>
  <c r="E1703" i="1"/>
  <c r="E1701" i="1"/>
  <c r="E1433" i="1"/>
  <c r="E1439" i="1"/>
  <c r="E1431" i="1"/>
  <c r="E2692" i="1"/>
  <c r="E1705" i="1"/>
  <c r="E1706" i="1"/>
  <c r="E1704" i="1"/>
  <c r="E1435" i="1"/>
  <c r="E1436" i="1"/>
  <c r="E1527" i="1"/>
  <c r="E1434" i="1"/>
  <c r="E1528" i="1"/>
  <c r="E1529" i="1"/>
  <c r="E2743" i="1" l="1"/>
  <c r="E2741" i="1" s="1"/>
  <c r="E2787" i="1" s="1"/>
  <c r="E2779" i="1" l="1"/>
  <c r="E2783" i="1" s="1"/>
  <c r="E2785" i="1"/>
  <c r="E2791" i="1"/>
  <c r="E2777" i="1" l="1"/>
  <c r="E2799" i="1" s="1"/>
  <c r="E2804" i="1" l="1"/>
  <c r="E2801" i="1"/>
  <c r="E2802" i="1" l="1"/>
  <c r="E1157" i="2"/>
  <c r="E1166" i="2" l="1"/>
  <c r="E1167" i="2" s="1"/>
  <c r="E1168" i="2" s="1"/>
  <c r="E1156" i="2"/>
  <c r="E1160" i="2" s="1"/>
  <c r="G1160" i="2" l="1"/>
  <c r="E1161" i="2"/>
  <c r="G1161" i="2" s="1"/>
  <c r="E1163" i="2"/>
</calcChain>
</file>

<file path=xl/comments1.xml><?xml version="1.0" encoding="utf-8"?>
<comments xmlns="http://schemas.openxmlformats.org/spreadsheetml/2006/main">
  <authors>
    <author>enerlink*</author>
  </authors>
  <commentList>
    <comment ref="E2738" authorId="0" shapeId="0">
      <text>
        <r>
          <rPr>
            <sz val="9"/>
            <color indexed="81"/>
            <rFont val="Tahoma"/>
            <family val="2"/>
          </rPr>
          <t>Pakeista - tik Gamybos kintamosios dedamosios formulė</t>
        </r>
      </text>
    </comment>
  </commentList>
</comments>
</file>

<file path=xl/comments2.xml><?xml version="1.0" encoding="utf-8"?>
<comments xmlns="http://schemas.openxmlformats.org/spreadsheetml/2006/main">
  <authors>
    <author>enerlink*</author>
  </authors>
  <commentList>
    <comment ref="K7" authorId="0" shapeId="0">
      <text>
        <r>
          <rPr>
            <sz val="9"/>
            <color indexed="81"/>
            <rFont val="Tahoma"/>
            <family val="2"/>
          </rPr>
          <t>Komisijos kaina x 105 proc.</t>
        </r>
      </text>
    </comment>
    <comment ref="K9" authorId="0" shapeId="0">
      <text>
        <r>
          <rPr>
            <sz val="9"/>
            <color indexed="81"/>
            <rFont val="Tahoma"/>
            <family val="2"/>
          </rPr>
          <t>Komisijos kaina x 90 proc.</t>
        </r>
      </text>
    </comment>
    <comment ref="K10" authorId="0" shapeId="0">
      <text>
        <r>
          <rPr>
            <sz val="9"/>
            <color indexed="81"/>
            <rFont val="Tahoma"/>
            <family val="2"/>
          </rPr>
          <t>Komisijos kaina x 105 proc.</t>
        </r>
      </text>
    </comment>
  </commentList>
</comments>
</file>

<file path=xl/sharedStrings.xml><?xml version="1.0" encoding="utf-8"?>
<sst xmlns="http://schemas.openxmlformats.org/spreadsheetml/2006/main" count="9470" uniqueCount="532">
  <si>
    <t>Duomenys apie ūkio subjektą</t>
  </si>
  <si>
    <t>UAB "Anykščių šiluma"</t>
  </si>
  <si>
    <t>Įmonės kodas 1541 12751</t>
  </si>
  <si>
    <t>Vairuotojų g.11, 29107, Anykščiai</t>
  </si>
  <si>
    <t>faksas  8 381 59441</t>
  </si>
  <si>
    <t>e.paštas ast.laima@takas.lt</t>
  </si>
  <si>
    <t>Valstybinei kainų ir energetikos kontrolės komisijai</t>
  </si>
  <si>
    <t xml:space="preserve">Sprendimas, kuriuo nustatytos šilumos kainos dedamosios: </t>
  </si>
  <si>
    <t>Eil. Nr.</t>
  </si>
  <si>
    <t>Pavadinimas</t>
  </si>
  <si>
    <t>Mato vnt.</t>
  </si>
  <si>
    <t>Rodiklis</t>
  </si>
  <si>
    <t>Kainos</t>
  </si>
  <si>
    <t>1.</t>
  </si>
  <si>
    <t>ŠILUMOS GAMYBOS KAINOS DEDAMOSIOS</t>
  </si>
  <si>
    <t>1.1.</t>
  </si>
  <si>
    <t>1.1.1.</t>
  </si>
  <si>
    <t>1.1.2.</t>
  </si>
  <si>
    <t>Šilumos gamybos savo šaltinyje kainos pastovioji dedamoji</t>
  </si>
  <si>
    <t>šilumos gamybos savo šaltynyje kainos kintamoji dedamoji</t>
  </si>
  <si>
    <r>
      <t>T</t>
    </r>
    <r>
      <rPr>
        <vertAlign val="subscript"/>
        <sz val="8"/>
        <color indexed="8"/>
        <rFont val="Calibri"/>
        <family val="2"/>
        <charset val="186"/>
      </rPr>
      <t>nš kd</t>
    </r>
    <r>
      <rPr>
        <vertAlign val="subscript"/>
        <sz val="11"/>
        <color indexed="8"/>
        <rFont val="Times New Roman"/>
        <family val="1"/>
        <charset val="186"/>
      </rPr>
      <t>= 0,28+(4325,0 x T</t>
    </r>
    <r>
      <rPr>
        <vertAlign val="subscript"/>
        <sz val="8"/>
        <color indexed="8"/>
        <rFont val="Times New Roman"/>
        <family val="1"/>
        <charset val="186"/>
      </rPr>
      <t>d</t>
    </r>
    <r>
      <rPr>
        <vertAlign val="subscript"/>
        <sz val="11"/>
        <color indexed="8"/>
        <rFont val="Times New Roman"/>
        <family val="1"/>
        <charset val="186"/>
      </rPr>
      <t xml:space="preserve"> + 226,0 x T</t>
    </r>
    <r>
      <rPr>
        <vertAlign val="subscript"/>
        <sz val="8"/>
        <color indexed="8"/>
        <rFont val="Times New Roman"/>
        <family val="1"/>
        <charset val="186"/>
      </rPr>
      <t>med</t>
    </r>
    <r>
      <rPr>
        <vertAlign val="subscript"/>
        <sz val="11"/>
        <color indexed="8"/>
        <rFont val="Times New Roman"/>
        <family val="1"/>
        <charset val="186"/>
      </rPr>
      <t xml:space="preserve"> + 509,0 x T</t>
    </r>
    <r>
      <rPr>
        <vertAlign val="subscript"/>
        <sz val="8"/>
        <color indexed="8"/>
        <rFont val="Times New Roman"/>
        <family val="1"/>
        <charset val="186"/>
      </rPr>
      <t>a</t>
    </r>
    <r>
      <rPr>
        <vertAlign val="subscript"/>
        <sz val="11"/>
        <color indexed="8"/>
        <rFont val="Times New Roman"/>
        <family val="1"/>
        <charset val="186"/>
      </rPr>
      <t xml:space="preserve"> + 106,1 x T</t>
    </r>
    <r>
      <rPr>
        <vertAlign val="subscript"/>
        <sz val="8"/>
        <color indexed="8"/>
        <rFont val="Times New Roman"/>
        <family val="1"/>
        <charset val="186"/>
      </rPr>
      <t>pj</t>
    </r>
    <r>
      <rPr>
        <vertAlign val="subscript"/>
        <sz val="11"/>
        <color indexed="8"/>
        <rFont val="Times New Roman"/>
        <family val="1"/>
        <charset val="186"/>
      </rPr>
      <t>)  / (44,84 x 10000)</t>
    </r>
  </si>
  <si>
    <t>1.2.</t>
  </si>
  <si>
    <t>Kuro rūšys, naudojamos šilumos kintamosios dedamosios skaičiavimuose</t>
  </si>
  <si>
    <t>1.2.1.</t>
  </si>
  <si>
    <t>Gamtinės dujos</t>
  </si>
  <si>
    <t>1.2.1.1.</t>
  </si>
  <si>
    <t>kuro žaliavos pirkimo kaina</t>
  </si>
  <si>
    <t>1.2.1.2.</t>
  </si>
  <si>
    <t>transportavimo kaina</t>
  </si>
  <si>
    <t>1.2.1.3.</t>
  </si>
  <si>
    <t>šilumos kainos skaičiavimui taikoma kaina</t>
  </si>
  <si>
    <t>1.2.2.</t>
  </si>
  <si>
    <t>Medienos kilmės biokuras</t>
  </si>
  <si>
    <r>
      <t>Lt/t</t>
    </r>
    <r>
      <rPr>
        <vertAlign val="subscript"/>
        <sz val="10"/>
        <color indexed="53"/>
        <rFont val="Times New Roman"/>
        <family val="1"/>
        <charset val="186"/>
      </rPr>
      <t>ne</t>
    </r>
  </si>
  <si>
    <t>1.2.3.</t>
  </si>
  <si>
    <t>1.2.2.1.</t>
  </si>
  <si>
    <t>1.2.2.2.</t>
  </si>
  <si>
    <t>1.2.2.3.</t>
  </si>
  <si>
    <t>1.2.3.1.</t>
  </si>
  <si>
    <t>1.2.3.2.</t>
  </si>
  <si>
    <t>1.2.3.3.</t>
  </si>
  <si>
    <r>
      <t>Lt/tūkst.m</t>
    </r>
    <r>
      <rPr>
        <vertAlign val="superscript"/>
        <sz val="8"/>
        <color indexed="53"/>
        <rFont val="Times New Roman"/>
        <family val="1"/>
        <charset val="186"/>
      </rPr>
      <t>3</t>
    </r>
  </si>
  <si>
    <t>1.3.</t>
  </si>
  <si>
    <t>Pirktos šilumos vidutinė kaina</t>
  </si>
  <si>
    <t>1.3.1.</t>
  </si>
  <si>
    <t>1.3.2.</t>
  </si>
  <si>
    <t>1.4.</t>
  </si>
  <si>
    <r>
      <t>T</t>
    </r>
    <r>
      <rPr>
        <b/>
        <vertAlign val="subscript"/>
        <sz val="9"/>
        <color indexed="8"/>
        <rFont val="Times New Roman"/>
        <family val="1"/>
        <charset val="186"/>
      </rPr>
      <t>pt kd</t>
    </r>
  </si>
  <si>
    <t>1.4.1.</t>
  </si>
  <si>
    <t>vienanarės kainos pastovioji dedamoji</t>
  </si>
  <si>
    <t>1.4.2.</t>
  </si>
  <si>
    <t>vienanarės kainos kintamoji dedamoji</t>
  </si>
  <si>
    <t>1.5.</t>
  </si>
  <si>
    <t>patiektos į tinklą šilumos gamybos dvinarė kaina</t>
  </si>
  <si>
    <t>1.5.1.</t>
  </si>
  <si>
    <t>pastovioji kainos dalis</t>
  </si>
  <si>
    <t>Lt/kW per mėn.</t>
  </si>
  <si>
    <t>1.5.2.</t>
  </si>
  <si>
    <t>kintamoji kainos dalis (1.4.2.)</t>
  </si>
  <si>
    <t>ct/kWh</t>
  </si>
  <si>
    <t>2.</t>
  </si>
  <si>
    <t>ŠILUMOS PERDAVIMO KAINOS DEDAMOSIOS</t>
  </si>
  <si>
    <t>2.1.</t>
  </si>
  <si>
    <t>2.1.1.</t>
  </si>
  <si>
    <t>vienanarės šilumos perdavimo kainos pastovioji dedamoji</t>
  </si>
  <si>
    <t>2.1.2.</t>
  </si>
  <si>
    <t>vienanarės šilumos perdavimo kainos kintamojii dedamoji</t>
  </si>
  <si>
    <t>2.2.</t>
  </si>
  <si>
    <t>šilumos perdavimo  dvinarė kaina:</t>
  </si>
  <si>
    <t>2.2.1.</t>
  </si>
  <si>
    <t>2.2.2.</t>
  </si>
  <si>
    <t>kintamoji kainos dalis</t>
  </si>
  <si>
    <t>3.</t>
  </si>
  <si>
    <t>ŠILUMOS PARDAVIMO KAINA</t>
  </si>
  <si>
    <t>šilumos pardavimo kaina už suvartotą šilumos kiekį</t>
  </si>
  <si>
    <t>šilumos pardavimo kaina gyventojams</t>
  </si>
  <si>
    <t>Lt per mėn. vart.</t>
  </si>
  <si>
    <t>šilumos pardavimo kaina kitims vartotojams</t>
  </si>
  <si>
    <t>Lt per mėn. kt. vart.</t>
  </si>
  <si>
    <t>3.1.</t>
  </si>
  <si>
    <t>4.1.</t>
  </si>
  <si>
    <t>NEPADENGTOS KURO SĄNAUDOS</t>
  </si>
  <si>
    <t>4.2.</t>
  </si>
  <si>
    <t>PAPILDOMAI GAUTOS PAJAMOS</t>
  </si>
  <si>
    <t>5.</t>
  </si>
  <si>
    <t>6.</t>
  </si>
  <si>
    <t>Subsidijos dydis</t>
  </si>
  <si>
    <t>7.</t>
  </si>
  <si>
    <t>Galutinė šilumos vienanarė kaina (be PVM)</t>
  </si>
  <si>
    <t>8.</t>
  </si>
  <si>
    <t>Galutinė šilumos vienanarė kaina (su PVM)</t>
  </si>
  <si>
    <t>9.</t>
  </si>
  <si>
    <t>Galiojanti šilumos vienanarė kaina (be PVM)</t>
  </si>
  <si>
    <t>10.</t>
  </si>
  <si>
    <t>Apskaičiuotos kainos pokytis lyginant su galiojančia kaina</t>
  </si>
  <si>
    <t>proc.</t>
  </si>
  <si>
    <t>11.</t>
  </si>
  <si>
    <t>Praėjusį mėnesį savuose šaltiniuose faktiškai pagamintas šilumos kiekis</t>
  </si>
  <si>
    <t>tūkst. MWh</t>
  </si>
  <si>
    <t>12.</t>
  </si>
  <si>
    <t>Praėjusį mėnesį faktiškai realizuotas šilumos kiekis</t>
  </si>
  <si>
    <t>13.</t>
  </si>
  <si>
    <t>Praėjusį mėnesį faktiškai pirktos šilumos kiekis</t>
  </si>
  <si>
    <t xml:space="preserve">Akmens anglis </t>
  </si>
  <si>
    <t>Nepriklausomas gamintojas</t>
  </si>
  <si>
    <t>pirktos šilumos kaina</t>
  </si>
  <si>
    <t>x</t>
  </si>
  <si>
    <t>34 priedas</t>
  </si>
  <si>
    <t>KARŠTO VANDENS KAINOS DEDAMOSIOS</t>
  </si>
  <si>
    <t>karšto vandens kainos pastovioji dedamoji</t>
  </si>
  <si>
    <r>
      <t>Lt/m</t>
    </r>
    <r>
      <rPr>
        <vertAlign val="superscript"/>
        <sz val="8"/>
        <color indexed="8"/>
        <rFont val="Times New Roman"/>
        <family val="1"/>
        <charset val="186"/>
      </rPr>
      <t>3</t>
    </r>
  </si>
  <si>
    <r>
      <t>T</t>
    </r>
    <r>
      <rPr>
        <vertAlign val="subscript"/>
        <sz val="10"/>
        <color indexed="8"/>
        <rFont val="Times New Roman"/>
        <family val="1"/>
        <charset val="186"/>
      </rPr>
      <t>kv pd</t>
    </r>
  </si>
  <si>
    <t>karšto vandens kainos kintamoji dedamoji</t>
  </si>
  <si>
    <t>Šilumos kaina, naudojama karšto vandens kainos skaičiavimuose</t>
  </si>
  <si>
    <t>Geriamojo vandens tiekimo ir nuotekų tvarkymo paslaugų kaina</t>
  </si>
  <si>
    <t>4.</t>
  </si>
  <si>
    <t>Geriamojo vandens pardavimo kaina</t>
  </si>
  <si>
    <t>Galutinė karšto vandens  kaina (be PVM) (1.1.+1.2.)</t>
  </si>
  <si>
    <t xml:space="preserve">Galutinė karšto vandens  kaina (su PVM) </t>
  </si>
  <si>
    <t>Galiojanti karšto vandens kaina (be PVM)</t>
  </si>
  <si>
    <t>Apskaičiuotos kainos pokytis lyginant su galiojančia karšto vandens kaina</t>
  </si>
  <si>
    <r>
      <t>T</t>
    </r>
    <r>
      <rPr>
        <vertAlign val="subscript"/>
        <sz val="10"/>
        <color indexed="8"/>
        <rFont val="Times New Roman"/>
        <family val="1"/>
        <charset val="186"/>
      </rPr>
      <t>kv</t>
    </r>
    <r>
      <rPr>
        <sz val="10"/>
        <color indexed="8"/>
        <rFont val="Times New Roman"/>
        <family val="1"/>
        <charset val="186"/>
      </rPr>
      <t xml:space="preserve"> = T</t>
    </r>
    <r>
      <rPr>
        <vertAlign val="subscript"/>
        <sz val="10"/>
        <color indexed="8"/>
        <rFont val="Times New Roman"/>
        <family val="1"/>
        <charset val="186"/>
      </rPr>
      <t>kv pd</t>
    </r>
    <r>
      <rPr>
        <sz val="10"/>
        <color indexed="8"/>
        <rFont val="Times New Roman"/>
        <family val="1"/>
        <charset val="186"/>
      </rPr>
      <t xml:space="preserve"> + T</t>
    </r>
    <r>
      <rPr>
        <vertAlign val="subscript"/>
        <sz val="10"/>
        <color indexed="8"/>
        <rFont val="Times New Roman"/>
        <family val="1"/>
        <charset val="186"/>
      </rPr>
      <t>kv kd</t>
    </r>
  </si>
  <si>
    <t>Vnt.</t>
  </si>
  <si>
    <t>Faktiškos sąnaudos ir kaina</t>
  </si>
  <si>
    <r>
      <t>gamtinių dujų</t>
    </r>
    <r>
      <rPr>
        <sz val="8"/>
        <color indexed="8"/>
        <rFont val="Arial"/>
        <family val="2"/>
        <charset val="186"/>
      </rPr>
      <t xml:space="preserve"> kiekis </t>
    </r>
  </si>
  <si>
    <r>
      <t>tūkst. m</t>
    </r>
    <r>
      <rPr>
        <vertAlign val="superscript"/>
        <sz val="8"/>
        <color indexed="8"/>
        <rFont val="Arial"/>
        <family val="2"/>
        <charset val="186"/>
      </rPr>
      <t>3</t>
    </r>
  </si>
  <si>
    <t xml:space="preserve">kaloringumas </t>
  </si>
  <si>
    <r>
      <t>kcal/m</t>
    </r>
    <r>
      <rPr>
        <vertAlign val="superscript"/>
        <sz val="8"/>
        <color indexed="8"/>
        <rFont val="Arial"/>
        <family val="2"/>
        <charset val="186"/>
      </rPr>
      <t>3</t>
    </r>
  </si>
  <si>
    <t>pirkimo sąnaudos</t>
  </si>
  <si>
    <t>tūkst. Lt</t>
  </si>
  <si>
    <t>SGDT sąnaudos</t>
  </si>
  <si>
    <t>Gamtinių dujų kaina</t>
  </si>
  <si>
    <r>
      <t>Lt/tūkst. m</t>
    </r>
    <r>
      <rPr>
        <b/>
        <vertAlign val="superscript"/>
        <sz val="8"/>
        <color indexed="8"/>
        <rFont val="Arial"/>
        <family val="2"/>
        <charset val="186"/>
      </rPr>
      <t>3</t>
    </r>
  </si>
  <si>
    <t xml:space="preserve">iš jos    pirkimo kaina </t>
  </si>
  <si>
    <r>
      <t>Lt/tūkst. m</t>
    </r>
    <r>
      <rPr>
        <vertAlign val="superscript"/>
        <sz val="8"/>
        <color indexed="8"/>
        <rFont val="Arial"/>
        <family val="2"/>
        <charset val="186"/>
      </rPr>
      <t>3</t>
    </r>
  </si>
  <si>
    <t xml:space="preserve">            SGDT kaina </t>
  </si>
  <si>
    <t xml:space="preserve">            transportavimo kaina pagal sutartį</t>
  </si>
  <si>
    <t>ton.</t>
  </si>
  <si>
    <t>kcal/kg</t>
  </si>
  <si>
    <t xml:space="preserve">kiekis </t>
  </si>
  <si>
    <t>tne</t>
  </si>
  <si>
    <t xml:space="preserve">sąnaudos </t>
  </si>
  <si>
    <t>Lt/tne</t>
  </si>
  <si>
    <r>
      <t>m</t>
    </r>
    <r>
      <rPr>
        <vertAlign val="superscript"/>
        <sz val="8"/>
        <color indexed="8"/>
        <rFont val="Arial"/>
        <family val="2"/>
        <charset val="186"/>
      </rPr>
      <t>3</t>
    </r>
  </si>
  <si>
    <t xml:space="preserve">   Pjuvenos</t>
  </si>
  <si>
    <r>
      <t>pjuvenų</t>
    </r>
    <r>
      <rPr>
        <sz val="8"/>
        <color indexed="8"/>
        <rFont val="Arial"/>
        <family val="2"/>
        <charset val="186"/>
      </rPr>
      <t xml:space="preserve"> kiekis </t>
    </r>
  </si>
  <si>
    <t>sąnaudos už pjuvenas</t>
  </si>
  <si>
    <t>žaliavos kaina</t>
  </si>
  <si>
    <t>transportavimo sąnaudos</t>
  </si>
  <si>
    <t>kitos pervežimo sąnaudos</t>
  </si>
  <si>
    <t>pjuvenų kaina su transportavimu</t>
  </si>
  <si>
    <t xml:space="preserve">   Malkos</t>
  </si>
  <si>
    <r>
      <t xml:space="preserve">Malkų </t>
    </r>
    <r>
      <rPr>
        <sz val="8"/>
        <color indexed="8"/>
        <rFont val="Arial"/>
        <family val="2"/>
        <charset val="186"/>
      </rPr>
      <t>kiekis</t>
    </r>
  </si>
  <si>
    <t>sąnaudos už malkas</t>
  </si>
  <si>
    <t>Malkų kaina</t>
  </si>
  <si>
    <t xml:space="preserve">   Skiedros</t>
  </si>
  <si>
    <r>
      <t>Medžio skiedrų</t>
    </r>
    <r>
      <rPr>
        <sz val="8"/>
        <color indexed="8"/>
        <rFont val="Arial"/>
        <family val="2"/>
        <charset val="186"/>
      </rPr>
      <t xml:space="preserve"> kiekis</t>
    </r>
  </si>
  <si>
    <t>sąnaudos už medžio skiedras</t>
  </si>
  <si>
    <t>Medžio skiedrų kaina</t>
  </si>
  <si>
    <t>Medienos kilmės biokuro žaliavos kaina</t>
  </si>
  <si>
    <t>Transportavimo kaina</t>
  </si>
  <si>
    <t>Pirkta šiluma</t>
  </si>
  <si>
    <t>kiekis</t>
  </si>
  <si>
    <t>sąnaudos</t>
  </si>
  <si>
    <t>Pirktos šilumos kaina</t>
  </si>
  <si>
    <r>
      <t xml:space="preserve">Dyzelino </t>
    </r>
    <r>
      <rPr>
        <sz val="8"/>
        <color indexed="8"/>
        <rFont val="Arial"/>
        <family val="2"/>
        <charset val="186"/>
      </rPr>
      <t>natūr. kiekis</t>
    </r>
  </si>
  <si>
    <t>Dyzelino kaina</t>
  </si>
  <si>
    <t>Laima Žarskutė</t>
  </si>
  <si>
    <t>Vyresnioji ekonomistė</t>
  </si>
  <si>
    <t>Tel. 8 381 59167</t>
  </si>
  <si>
    <t>el. paštas ast.laima@takas.lt</t>
  </si>
  <si>
    <r>
      <t xml:space="preserve">T </t>
    </r>
    <r>
      <rPr>
        <vertAlign val="subscript"/>
        <sz val="12"/>
        <color indexed="8"/>
        <rFont val="Times New Roman"/>
        <family val="1"/>
        <charset val="186"/>
      </rPr>
      <t>g nš pd</t>
    </r>
    <r>
      <rPr>
        <sz val="12"/>
        <color indexed="8"/>
        <rFont val="Times New Roman"/>
        <family val="1"/>
        <charset val="186"/>
      </rPr>
      <t xml:space="preserve"> </t>
    </r>
  </si>
  <si>
    <t>patiektos į tinklą šilumos gamybos vienanarė kaina (1.4.1.+1.4.2.)</t>
  </si>
  <si>
    <r>
      <t xml:space="preserve">T </t>
    </r>
    <r>
      <rPr>
        <vertAlign val="subscript"/>
        <sz val="12"/>
        <color indexed="8"/>
        <rFont val="Times New Roman"/>
        <family val="1"/>
        <charset val="186"/>
      </rPr>
      <t>pt pd</t>
    </r>
    <r>
      <rPr>
        <sz val="12"/>
        <color indexed="8"/>
        <rFont val="Times New Roman"/>
        <family val="1"/>
        <charset val="186"/>
      </rPr>
      <t xml:space="preserve"> </t>
    </r>
  </si>
  <si>
    <r>
      <t xml:space="preserve">T </t>
    </r>
    <r>
      <rPr>
        <vertAlign val="subscript"/>
        <sz val="12"/>
        <color indexed="8"/>
        <rFont val="Times New Roman"/>
        <family val="1"/>
        <charset val="186"/>
      </rPr>
      <t>pr pd</t>
    </r>
    <r>
      <rPr>
        <sz val="12"/>
        <color indexed="8"/>
        <rFont val="Times New Roman"/>
        <family val="1"/>
        <charset val="186"/>
      </rPr>
      <t xml:space="preserve"> </t>
    </r>
  </si>
  <si>
    <r>
      <t>T</t>
    </r>
    <r>
      <rPr>
        <vertAlign val="subscript"/>
        <sz val="12"/>
        <color indexed="8"/>
        <rFont val="Times New Roman"/>
        <family val="1"/>
        <charset val="186"/>
      </rPr>
      <t>pr kd = 0,39 + 7,24 x Tpt / 37,6</t>
    </r>
  </si>
  <si>
    <r>
      <t xml:space="preserve">T </t>
    </r>
    <r>
      <rPr>
        <vertAlign val="subscript"/>
        <sz val="12"/>
        <color indexed="8"/>
        <rFont val="Times New Roman"/>
        <family val="1"/>
        <charset val="186"/>
      </rPr>
      <t>pr kd</t>
    </r>
  </si>
  <si>
    <t>APSKAIČIUOTA ŠILUMOS VIENANARĖ KAINA (1.1.+2.1.+4.1.+4.2.)</t>
  </si>
  <si>
    <t>Duomenys apie kontaktinį asmenį</t>
  </si>
  <si>
    <r>
      <t xml:space="preserve">T </t>
    </r>
    <r>
      <rPr>
        <b/>
        <vertAlign val="subscript"/>
        <sz val="12"/>
        <color indexed="8"/>
        <rFont val="Times New Roman"/>
        <family val="1"/>
        <charset val="186"/>
      </rPr>
      <t>g nš</t>
    </r>
    <r>
      <rPr>
        <b/>
        <sz val="12"/>
        <color indexed="8"/>
        <rFont val="Times New Roman"/>
        <family val="1"/>
        <charset val="186"/>
      </rPr>
      <t xml:space="preserve"> =T </t>
    </r>
    <r>
      <rPr>
        <b/>
        <vertAlign val="subscript"/>
        <sz val="12"/>
        <color indexed="8"/>
        <rFont val="Times New Roman"/>
        <family val="1"/>
        <charset val="186"/>
      </rPr>
      <t>g nš pd</t>
    </r>
    <r>
      <rPr>
        <b/>
        <sz val="12"/>
        <color indexed="8"/>
        <rFont val="Times New Roman"/>
        <family val="1"/>
        <charset val="186"/>
      </rPr>
      <t xml:space="preserve"> + T </t>
    </r>
    <r>
      <rPr>
        <b/>
        <vertAlign val="subscript"/>
        <sz val="12"/>
        <color indexed="8"/>
        <rFont val="Times New Roman"/>
        <family val="1"/>
        <charset val="186"/>
      </rPr>
      <t>g nš kd</t>
    </r>
  </si>
  <si>
    <r>
      <t xml:space="preserve">T </t>
    </r>
    <r>
      <rPr>
        <b/>
        <vertAlign val="subscript"/>
        <sz val="12"/>
        <color indexed="8"/>
        <rFont val="Times New Roman"/>
        <family val="1"/>
        <charset val="186"/>
      </rPr>
      <t>pr</t>
    </r>
    <r>
      <rPr>
        <b/>
        <sz val="12"/>
        <color indexed="8"/>
        <rFont val="Times New Roman"/>
        <family val="1"/>
        <charset val="186"/>
      </rPr>
      <t xml:space="preserve">  = T </t>
    </r>
    <r>
      <rPr>
        <b/>
        <vertAlign val="subscript"/>
        <sz val="12"/>
        <color indexed="8"/>
        <rFont val="Times New Roman"/>
        <family val="1"/>
        <charset val="186"/>
      </rPr>
      <t>pr pd</t>
    </r>
    <r>
      <rPr>
        <b/>
        <sz val="12"/>
        <color indexed="8"/>
        <rFont val="Times New Roman"/>
        <family val="1"/>
        <charset val="186"/>
      </rPr>
      <t xml:space="preserve"> + T </t>
    </r>
    <r>
      <rPr>
        <b/>
        <vertAlign val="subscript"/>
        <sz val="12"/>
        <color indexed="8"/>
        <rFont val="Times New Roman"/>
        <family val="1"/>
        <charset val="186"/>
      </rPr>
      <t>pr kd</t>
    </r>
  </si>
  <si>
    <r>
      <t xml:space="preserve">T </t>
    </r>
    <r>
      <rPr>
        <b/>
        <vertAlign val="subscript"/>
        <sz val="12"/>
        <color indexed="8"/>
        <rFont val="Times New Roman"/>
        <family val="1"/>
        <charset val="186"/>
      </rPr>
      <t>pt</t>
    </r>
    <r>
      <rPr>
        <b/>
        <sz val="12"/>
        <color indexed="8"/>
        <rFont val="Times New Roman"/>
        <family val="1"/>
        <charset val="186"/>
      </rPr>
      <t xml:space="preserve"> = T </t>
    </r>
    <r>
      <rPr>
        <b/>
        <vertAlign val="subscript"/>
        <sz val="12"/>
        <color indexed="8"/>
        <rFont val="Times New Roman"/>
        <family val="1"/>
        <charset val="186"/>
      </rPr>
      <t>pt pd</t>
    </r>
    <r>
      <rPr>
        <b/>
        <sz val="12"/>
        <color indexed="8"/>
        <rFont val="Times New Roman"/>
        <family val="1"/>
        <charset val="186"/>
      </rPr>
      <t xml:space="preserve"> + T </t>
    </r>
    <r>
      <rPr>
        <b/>
        <vertAlign val="subscript"/>
        <sz val="12"/>
        <color indexed="8"/>
        <rFont val="Times New Roman"/>
        <family val="1"/>
        <charset val="186"/>
      </rPr>
      <t>pt kd</t>
    </r>
  </si>
  <si>
    <t>šilumos perdavimo vienanarė kaina iki pastato šilumos įvado  (2.1.1.+2.1.2.)</t>
  </si>
  <si>
    <t>Šilumos gamybos savo šaltinyje vienanarė (1.1.1.+1.1.2.)</t>
  </si>
  <si>
    <t xml:space="preserve">                    ŠILUMOS KAINOS SKAIČIAVIMAS  2013 METŲ RUGPJŪČIO MĖNESIUI </t>
  </si>
  <si>
    <t xml:space="preserve">                  KARŠTO VANDENS KAINOS SKAIČIAVIMAS  2013 METŲ RUGPJŪČIO MĖNESIUI</t>
  </si>
  <si>
    <t>35 priedas</t>
  </si>
  <si>
    <r>
      <t>(52,25*T</t>
    </r>
    <r>
      <rPr>
        <vertAlign val="subscript"/>
        <sz val="10"/>
        <color indexed="8"/>
        <rFont val="Times New Roman"/>
        <family val="1"/>
        <charset val="186"/>
      </rPr>
      <t>š</t>
    </r>
    <r>
      <rPr>
        <sz val="10"/>
        <color indexed="8"/>
        <rFont val="Times New Roman"/>
        <family val="1"/>
        <charset val="186"/>
      </rPr>
      <t>)+(1,025*T</t>
    </r>
    <r>
      <rPr>
        <vertAlign val="subscript"/>
        <sz val="10"/>
        <color indexed="8"/>
        <rFont val="Times New Roman"/>
        <family val="1"/>
        <charset val="186"/>
      </rPr>
      <t>gv</t>
    </r>
    <r>
      <rPr>
        <sz val="10"/>
        <color indexed="8"/>
        <rFont val="Times New Roman"/>
        <family val="1"/>
        <charset val="186"/>
      </rPr>
      <t>)+(0,01*T</t>
    </r>
    <r>
      <rPr>
        <vertAlign val="subscript"/>
        <sz val="10"/>
        <color indexed="8"/>
        <rFont val="Times New Roman"/>
        <family val="1"/>
        <charset val="186"/>
      </rPr>
      <t>gv pard</t>
    </r>
    <r>
      <rPr>
        <sz val="10"/>
        <color indexed="8"/>
        <rFont val="Times New Roman"/>
        <family val="1"/>
        <charset val="186"/>
      </rPr>
      <t>)</t>
    </r>
  </si>
  <si>
    <t>X</t>
  </si>
  <si>
    <t>Direktorius</t>
  </si>
  <si>
    <t>Virgilijus Vaičiulis</t>
  </si>
  <si>
    <t>(sudarymo data)</t>
  </si>
  <si>
    <t>www.anyksciusiluma.lt</t>
  </si>
  <si>
    <t>.......................</t>
  </si>
  <si>
    <t>(parašas)</t>
  </si>
  <si>
    <t>Verkių g.25 c. Vilnius, rastine@regula.lt</t>
  </si>
  <si>
    <t>2013 m. birželio mėn. pirkto kuro kainos apskaičiavimas</t>
  </si>
  <si>
    <r>
      <t xml:space="preserve">rugpjūčio </t>
    </r>
    <r>
      <rPr>
        <b/>
        <sz val="12"/>
        <color indexed="8"/>
        <rFont val="Arial"/>
        <family val="2"/>
        <charset val="186"/>
      </rPr>
      <t>mėnesio šilumos kainai</t>
    </r>
  </si>
  <si>
    <t>Kuras</t>
  </si>
  <si>
    <t>Vidutinė</t>
  </si>
  <si>
    <t>Faktinė</t>
  </si>
  <si>
    <t>Kuro kaina</t>
  </si>
  <si>
    <t>bazinėje kainoje</t>
  </si>
  <si>
    <t>šalies kuro</t>
  </si>
  <si>
    <t>žaliavos</t>
  </si>
  <si>
    <t>faktinis</t>
  </si>
  <si>
    <t>transp. ir kt.</t>
  </si>
  <si>
    <t>transportavimo</t>
  </si>
  <si>
    <t>šilumos kainai</t>
  </si>
  <si>
    <t>struktūra</t>
  </si>
  <si>
    <t>kaina</t>
  </si>
  <si>
    <t>skaičiuoti</t>
  </si>
  <si>
    <t>%</t>
  </si>
  <si>
    <t>Iš viso</t>
  </si>
  <si>
    <t>UŽDAROJI AKCINĖ BENDROVĖ „ANYKŠČIŲ ŠILUMA“</t>
  </si>
  <si>
    <t>Įmonės kodas 1541 12751,  Vairuotojų g.11, 29107, Anykščiai</t>
  </si>
  <si>
    <t>Akmens anglis</t>
  </si>
  <si>
    <t>pjuvenos</t>
  </si>
  <si>
    <t>malkos</t>
  </si>
  <si>
    <t>vidutinis tankis</t>
  </si>
  <si>
    <t>kg/ktm</t>
  </si>
  <si>
    <t>t</t>
  </si>
  <si>
    <t>sąnaudos iš viso</t>
  </si>
  <si>
    <t>UŽDAROJI AKCINĖ BENDROVĖ „ANYKŠČIŲ ŠILUMAI“</t>
  </si>
  <si>
    <t>Įmonės kodas 1541 12751, Vairuotojų g.11, 29107, Anykščiai</t>
  </si>
  <si>
    <t>Birželio mėnesį  pirktas kuras</t>
  </si>
  <si>
    <r>
      <t>akmens anglies</t>
    </r>
    <r>
      <rPr>
        <sz val="8"/>
        <color indexed="8"/>
        <rFont val="Arial"/>
        <family val="2"/>
        <charset val="186"/>
      </rPr>
      <t xml:space="preserve"> kiekis </t>
    </r>
  </si>
  <si>
    <t>sąnaudos už akmens anglį</t>
  </si>
  <si>
    <t>akmens anglies kaina</t>
  </si>
  <si>
    <t>Liepos mėnesį  pirktas kuras</t>
  </si>
  <si>
    <t xml:space="preserve">                    ŠILUMOS KAINOS SKAIČIAVIMAS  2013 METŲ RUGSĖJO  MĖNESIUI </t>
  </si>
  <si>
    <t xml:space="preserve">                  KARŠTO VANDENS KAINOS SKAIČIAVIMAS  2013 METŲ RUGSĖJO MĖNESIUI</t>
  </si>
  <si>
    <t xml:space="preserve">                  KARŠTO VANDENS KAINOS SKAIČIAVIMAS  2013 METŲ SPALIO MĖNESIUI</t>
  </si>
  <si>
    <t xml:space="preserve">                    ŠILUMOS KAINOS SKAIČIAVIMAS  2013 METŲ SPALIO   MĖNESIUI </t>
  </si>
  <si>
    <t>Rugpjūčio  mėnesį  pirktas kuras</t>
  </si>
  <si>
    <t>Laikinai einanatis direktoriaus pareigas</t>
  </si>
  <si>
    <t>Gintaras Strolia</t>
  </si>
  <si>
    <t>Anykščių rajono savivaldybės tarybos 2013-03-28 sprendimas Nr. 1 - TS - 114, VKEKK 2013-04-15 nutarimas Nr. O3-124.</t>
  </si>
  <si>
    <t>VKEKK 2013-02-28 nutarimas Nr.O3 - 61</t>
  </si>
  <si>
    <t>Rugsėjo  mėnesį  pirktas kuras</t>
  </si>
  <si>
    <t xml:space="preserve">                    ŠILUMOS KAINOS SKAIČIAVIMAS  2013 METŲ lapkričio  MĖNESIUI </t>
  </si>
  <si>
    <t>Laikinai einantis direktoriaus pareigas</t>
  </si>
  <si>
    <t xml:space="preserve">                  KARŠTO VANDENS KAINOS SKAIČIAVIMAS  2013 METŲ  lapkričio  MĖNESIUI</t>
  </si>
  <si>
    <t xml:space="preserve">                  KARŠTO VANDENS KAINOS SKAIČIAVIMAS  2013 METŲ  gruodžio  MĖNESIUI</t>
  </si>
  <si>
    <t xml:space="preserve">                    ŠILUMOS KAINOS SKAIČIAVIMAS  2013 METŲ  gruodžio MĖNESIUI </t>
  </si>
  <si>
    <t>Spalio   mėnesį  pirktas kuras</t>
  </si>
  <si>
    <t>Medienos granulės</t>
  </si>
  <si>
    <t>Medienos granulių kiekis</t>
  </si>
  <si>
    <t>sąnaudos už medienos granulės</t>
  </si>
  <si>
    <t>KARŠTO VANDENS KAINOS DEDAMOSIOS KITIEMS VARTOTOJAMS</t>
  </si>
  <si>
    <r>
      <t>(51*T</t>
    </r>
    <r>
      <rPr>
        <vertAlign val="subscript"/>
        <sz val="10"/>
        <color indexed="8"/>
        <rFont val="Times New Roman"/>
        <family val="1"/>
        <charset val="186"/>
      </rPr>
      <t>š</t>
    </r>
    <r>
      <rPr>
        <sz val="10"/>
        <color indexed="8"/>
        <rFont val="Times New Roman"/>
        <family val="1"/>
        <charset val="186"/>
      </rPr>
      <t>)+(1,*T</t>
    </r>
    <r>
      <rPr>
        <vertAlign val="subscript"/>
        <sz val="10"/>
        <color indexed="8"/>
        <rFont val="Times New Roman"/>
        <family val="1"/>
        <charset val="186"/>
      </rPr>
      <t>gv</t>
    </r>
    <r>
      <rPr>
        <sz val="10"/>
        <color indexed="8"/>
        <rFont val="Times New Roman"/>
        <family val="1"/>
        <charset val="186"/>
      </rPr>
      <t>)+(0,01*T</t>
    </r>
    <r>
      <rPr>
        <vertAlign val="subscript"/>
        <sz val="10"/>
        <color indexed="8"/>
        <rFont val="Times New Roman"/>
        <family val="1"/>
        <charset val="186"/>
      </rPr>
      <t>gv pard</t>
    </r>
    <r>
      <rPr>
        <sz val="10"/>
        <color indexed="8"/>
        <rFont val="Times New Roman"/>
        <family val="1"/>
        <charset val="186"/>
      </rPr>
      <t>)</t>
    </r>
  </si>
  <si>
    <t>I.</t>
  </si>
  <si>
    <t>II.</t>
  </si>
  <si>
    <t>Papildoma informacija:</t>
  </si>
  <si>
    <r>
      <t>Pildant spalio mėnesio biokuro suvestinės formą (regula.lt)   biokuro kaina (bendra) buvo 2</t>
    </r>
    <r>
      <rPr>
        <b/>
        <i/>
        <sz val="10"/>
        <color indexed="8"/>
        <rFont val="Calibri"/>
        <family val="2"/>
        <charset val="186"/>
      </rPr>
      <t>99,59  Lt/ t ne , gauta neįvertinus centų.</t>
    </r>
  </si>
  <si>
    <t>Pildant 34 priedą, įvertinus visas išlaidas biokurui įsigyti, bendra biokuro kaina - 299,62 Lt/ t ne, kuri ir taikoma nustatant gruodžio mėnesio mėnesio šilumos kainą.</t>
  </si>
  <si>
    <t>KARŠTO VANDENS KAINOS DEDAMOSIOS  DAUGIABUČIUOSE NAMUOSE</t>
  </si>
  <si>
    <t>Lapkričio   mėnesį  pirktas kuras</t>
  </si>
  <si>
    <t xml:space="preserve">                    ŠILUMOS KAINOS SKAIČIAVIMAS  2014 METŲ   sausio   MĖNESIUI </t>
  </si>
  <si>
    <t xml:space="preserve">                  KARŠTO VANDENS KAINOS SKAIČIAVIMAS  2014 METŲ  sausio   MĖNESIUI</t>
  </si>
  <si>
    <t>Verkių g.25 c. Vilnius, rastine@regula.lt, faksas (8 5)213 5270</t>
  </si>
  <si>
    <t xml:space="preserve">                  KARŠTO VANDENS KAINOS SKAIČIAVIMAS  2014 METŲ  vasario  MĖNESIUI</t>
  </si>
  <si>
    <t xml:space="preserve">                    ŠILUMOS KAINOS SKAIČIAVIMAS  2014 METŲ   vasario   MĖNESIUI </t>
  </si>
  <si>
    <t>Medienos granulių kaina</t>
  </si>
  <si>
    <t>Gruodžio   mėnesį  pirktas kuras</t>
  </si>
  <si>
    <t>Medienos kilmės biokuras (Pjuvenos)</t>
  </si>
  <si>
    <t xml:space="preserve">Mediena   </t>
  </si>
  <si>
    <t>APSKAIČIUOTA ŠILUMOS VIENANARĖ KAINA (1.1.+2.1.+3.1.+4.1.+4.2.)</t>
  </si>
  <si>
    <t xml:space="preserve">                    ŠILUMOS KAINOS SKAIČIAVIMAS  2014 METŲ   kovo   MĖNESIUI </t>
  </si>
  <si>
    <t>2014 metų sausio    mėnesį  pirktas kuras</t>
  </si>
  <si>
    <t xml:space="preserve">                  KARŠTO VANDENS KAINOS SKAIČIAVIMAS  2014 METŲ  kovo   MĖNESIUI</t>
  </si>
  <si>
    <t xml:space="preserve">                    ŠILUMOS KAINOS SKAIČIAVIMAS  2014 METŲ   balandžio MĖNESIUI </t>
  </si>
  <si>
    <t>2014 metų vasario   mėnesį  pirktas kuras</t>
  </si>
  <si>
    <t xml:space="preserve">                  KARŠTO VANDENS KAINOS SKAIČIAVIMAS  2014 METŲ  balandžio   MĖNESIUI</t>
  </si>
  <si>
    <t>VKEKK 2014-02-14 nutarimas Nr.O3 - 50</t>
  </si>
  <si>
    <r>
      <t>(52,69*T</t>
    </r>
    <r>
      <rPr>
        <vertAlign val="subscript"/>
        <sz val="10"/>
        <color indexed="8"/>
        <rFont val="Times New Roman"/>
        <family val="1"/>
        <charset val="186"/>
      </rPr>
      <t>š</t>
    </r>
    <r>
      <rPr>
        <sz val="10"/>
        <color indexed="8"/>
        <rFont val="Times New Roman"/>
        <family val="1"/>
        <charset val="186"/>
      </rPr>
      <t>)+(1,03*T</t>
    </r>
    <r>
      <rPr>
        <vertAlign val="subscript"/>
        <sz val="10"/>
        <color indexed="8"/>
        <rFont val="Times New Roman"/>
        <family val="1"/>
        <charset val="186"/>
      </rPr>
      <t>gv</t>
    </r>
    <r>
      <rPr>
        <sz val="10"/>
        <color indexed="8"/>
        <rFont val="Times New Roman"/>
        <family val="1"/>
        <charset val="186"/>
      </rPr>
      <t>)+(0,032*T</t>
    </r>
    <r>
      <rPr>
        <vertAlign val="subscript"/>
        <sz val="10"/>
        <color indexed="8"/>
        <rFont val="Times New Roman"/>
        <family val="1"/>
        <charset val="186"/>
      </rPr>
      <t>gv pard</t>
    </r>
    <r>
      <rPr>
        <sz val="10"/>
        <color indexed="8"/>
        <rFont val="Times New Roman"/>
        <family val="1"/>
        <charset val="186"/>
      </rPr>
      <t>)</t>
    </r>
  </si>
  <si>
    <r>
      <t>(51*T</t>
    </r>
    <r>
      <rPr>
        <vertAlign val="subscript"/>
        <sz val="10"/>
        <color indexed="8"/>
        <rFont val="Times New Roman"/>
        <family val="1"/>
        <charset val="186"/>
      </rPr>
      <t>š</t>
    </r>
    <r>
      <rPr>
        <sz val="10"/>
        <color indexed="8"/>
        <rFont val="Times New Roman"/>
        <family val="1"/>
        <charset val="186"/>
      </rPr>
      <t>)+(1,*T</t>
    </r>
    <r>
      <rPr>
        <vertAlign val="subscript"/>
        <sz val="10"/>
        <color indexed="8"/>
        <rFont val="Times New Roman"/>
        <family val="1"/>
        <charset val="186"/>
      </rPr>
      <t>gv</t>
    </r>
    <r>
      <rPr>
        <sz val="10"/>
        <color indexed="8"/>
        <rFont val="Times New Roman"/>
        <family val="1"/>
        <charset val="186"/>
      </rPr>
      <t>)+(0,032*T</t>
    </r>
    <r>
      <rPr>
        <vertAlign val="subscript"/>
        <sz val="10"/>
        <color indexed="8"/>
        <rFont val="Times New Roman"/>
        <family val="1"/>
        <charset val="186"/>
      </rPr>
      <t>gv pard</t>
    </r>
    <r>
      <rPr>
        <sz val="10"/>
        <color indexed="8"/>
        <rFont val="Times New Roman"/>
        <family val="1"/>
        <charset val="186"/>
      </rPr>
      <t>)</t>
    </r>
  </si>
  <si>
    <t xml:space="preserve">                    ŠILUMOS KAINOS SKAIČIAVIMAS  2014 METŲ   gegužės MĖNESIUI </t>
  </si>
  <si>
    <r>
      <t>T</t>
    </r>
    <r>
      <rPr>
        <vertAlign val="subscript"/>
        <sz val="8"/>
        <color indexed="8"/>
        <rFont val="Calibri"/>
        <family val="2"/>
        <charset val="186"/>
      </rPr>
      <t>nš kd</t>
    </r>
    <r>
      <rPr>
        <vertAlign val="subscript"/>
        <sz val="11"/>
        <color indexed="8"/>
        <rFont val="Times New Roman"/>
        <family val="1"/>
        <charset val="186"/>
      </rPr>
      <t>= 0,29+(4325,0 x T</t>
    </r>
    <r>
      <rPr>
        <vertAlign val="subscript"/>
        <sz val="8"/>
        <color indexed="8"/>
        <rFont val="Times New Roman"/>
        <family val="1"/>
        <charset val="186"/>
      </rPr>
      <t>d</t>
    </r>
    <r>
      <rPr>
        <vertAlign val="subscript"/>
        <sz val="11"/>
        <color indexed="8"/>
        <rFont val="Times New Roman"/>
        <family val="1"/>
        <charset val="186"/>
      </rPr>
      <t xml:space="preserve"> + 226,0 x T</t>
    </r>
    <r>
      <rPr>
        <vertAlign val="subscript"/>
        <sz val="8"/>
        <color indexed="8"/>
        <rFont val="Times New Roman"/>
        <family val="1"/>
        <charset val="186"/>
      </rPr>
      <t>med</t>
    </r>
    <r>
      <rPr>
        <vertAlign val="subscript"/>
        <sz val="11"/>
        <color indexed="8"/>
        <rFont val="Times New Roman"/>
        <family val="1"/>
        <charset val="186"/>
      </rPr>
      <t xml:space="preserve"> + 509,0 x T</t>
    </r>
    <r>
      <rPr>
        <vertAlign val="subscript"/>
        <sz val="8"/>
        <color indexed="8"/>
        <rFont val="Times New Roman"/>
        <family val="1"/>
        <charset val="186"/>
      </rPr>
      <t>a</t>
    </r>
    <r>
      <rPr>
        <vertAlign val="subscript"/>
        <sz val="11"/>
        <color indexed="8"/>
        <rFont val="Times New Roman"/>
        <family val="1"/>
        <charset val="186"/>
      </rPr>
      <t xml:space="preserve"> + 106,1 x T</t>
    </r>
    <r>
      <rPr>
        <vertAlign val="subscript"/>
        <sz val="8"/>
        <color indexed="8"/>
        <rFont val="Times New Roman"/>
        <family val="1"/>
        <charset val="186"/>
      </rPr>
      <t>pj</t>
    </r>
    <r>
      <rPr>
        <vertAlign val="subscript"/>
        <sz val="11"/>
        <color indexed="8"/>
        <rFont val="Times New Roman"/>
        <family val="1"/>
        <charset val="186"/>
      </rPr>
      <t>)  / (44,84 x 10000)</t>
    </r>
  </si>
  <si>
    <r>
      <t>T</t>
    </r>
    <r>
      <rPr>
        <vertAlign val="subscript"/>
        <sz val="12"/>
        <color indexed="8"/>
        <rFont val="Times New Roman"/>
        <family val="1"/>
        <charset val="186"/>
      </rPr>
      <t>pr kd = 0,41 + 7,24 x Tpt / 37,6</t>
    </r>
  </si>
  <si>
    <t xml:space="preserve">                  KARŠTO VANDENS KAINOS SKAIČIAVIMAS  2014 METŲ  gegužės  MĖNESIUI</t>
  </si>
  <si>
    <t>Tarybos 2013-01-30 sprendimas Nr. 1 - TS - 28, 2014-03-27  Nr.1-TS-146,  VKEKK 2013-04-15 nutarimas Nr. O3-124, Nr. O3-107</t>
  </si>
  <si>
    <t xml:space="preserve">                    ŠILUMOS KAINOS SKAIČIAVIMAS  2014 METŲ   birželio   MĖNESIUI </t>
  </si>
  <si>
    <t xml:space="preserve">                  KARŠTO VANDENS KAINOS SKAIČIAVIMAS  2014 METŲ birželio   MĖNESIUI</t>
  </si>
  <si>
    <t xml:space="preserve">                  KARŠTO VANDENS KAINOS SKAIČIAVIMAS  2014 METŲ liepos    MĖNESIUI</t>
  </si>
  <si>
    <t xml:space="preserve">                    ŠILUMOS KAINOS SKAIČIAVIMAS  2014 METŲ   liepos   MĖNESIUI </t>
  </si>
  <si>
    <t xml:space="preserve">                    ŠILUMOS KAINOS SKAIČIAVIMAS  2014 METŲ   rugpjūčio    MĖNESIUI </t>
  </si>
  <si>
    <t xml:space="preserve">                  KARŠTO VANDENS KAINOS SKAIČIAVIMAS  2014 METŲ rugpjūčio   MĖNESIUI</t>
  </si>
  <si>
    <r>
      <t xml:space="preserve">VKEKK 2014-02-14 nutarimas Nr.O3 - 50, </t>
    </r>
    <r>
      <rPr>
        <b/>
        <i/>
        <sz val="11"/>
        <color indexed="60"/>
        <rFont val="Calibri"/>
        <family val="2"/>
        <charset val="186"/>
      </rPr>
      <t>savivaldybės 2014-06-26 sprendimas Nr.1-TS-229</t>
    </r>
  </si>
  <si>
    <t xml:space="preserve">                    ŠILUMOS KAINOS SKAIČIAVIMAS  2014 METŲ   rugsėjo    MĖNESIUI </t>
  </si>
  <si>
    <t xml:space="preserve">                  KARŠTO VANDENS KAINOS SKAIČIAVIMAS  2014 METŲ rugsėjo    MĖNESIUI</t>
  </si>
  <si>
    <t>Pastaba:gamtinių dujų duomenys sistemoje "Regula" buvo apvalinami, todėl pridedama PVM - sąskaita faktūra už 2014 metų liepos mėnesį, kurie yra patikslinti</t>
  </si>
  <si>
    <t>euro ct/kWh</t>
  </si>
  <si>
    <r>
      <t>Euro/m</t>
    </r>
    <r>
      <rPr>
        <vertAlign val="superscript"/>
        <sz val="8"/>
        <color indexed="30"/>
        <rFont val="Times New Roman"/>
        <family val="1"/>
        <charset val="186"/>
      </rPr>
      <t>3</t>
    </r>
  </si>
  <si>
    <t xml:space="preserve">                    ŠILUMOS KAINOS SKAIČIAVIMAS  2014 METŲ  spalio  MĖNESIUI </t>
  </si>
  <si>
    <t xml:space="preserve">                  KARŠTO VANDENS KAINOS SKAIČIAVIMAS  2014 METŲ spalio    MĖNESIUI</t>
  </si>
  <si>
    <t xml:space="preserve"> </t>
  </si>
  <si>
    <t xml:space="preserve">                    ŠILUMOS KAINOS SKAIČIAVIMAS  2014 METŲ  lapkričio   MĖNESIUI </t>
  </si>
  <si>
    <t>Violeta Labutienė</t>
  </si>
  <si>
    <t>el. paštas: violeta@anyksciusiluma.lt</t>
  </si>
  <si>
    <t>šilumos pardavimo kaina kitiems vartotojams</t>
  </si>
  <si>
    <t>el. paštas violeta@anyksciusiluma.lt</t>
  </si>
  <si>
    <t xml:space="preserve">                  KARŠTO VANDENS KAINOS SKAIČIAVIMAS  2014 METŲ lapkričio  MĖNESIUI</t>
  </si>
  <si>
    <t xml:space="preserve">                    ŠILUMOS KAINOS SKAIČIAVIMAS  2014 METŲ  gruodžio  MĖNESIUI </t>
  </si>
  <si>
    <t xml:space="preserve">                  KARŠTO VANDENS KAINOS SKAIČIAVIMAS  2014 METŲ gruodžio   MĖNESIUI</t>
  </si>
  <si>
    <t>Jūratė Butkuvienė</t>
  </si>
  <si>
    <t xml:space="preserve">                    ŠILUMOS KAINOS SKAIČIAVIMAS  2015 METŲ  sausio  MĖNESIUI </t>
  </si>
  <si>
    <t xml:space="preserve">                  KARŠTO VANDENS KAINOS SKAIČIAVIMAS  2015 METŲ sausio   MĖNESIUI</t>
  </si>
  <si>
    <t xml:space="preserve">                    ŠILUMOS KAINOS SKAIČIAVIMAS  2015 METŲ  vasario  MĖNESIUI </t>
  </si>
  <si>
    <r>
      <t>Eur/tūkst.m</t>
    </r>
    <r>
      <rPr>
        <vertAlign val="superscript"/>
        <sz val="8"/>
        <color indexed="53"/>
        <rFont val="Times New Roman"/>
        <family val="1"/>
        <charset val="186"/>
      </rPr>
      <t>3</t>
    </r>
  </si>
  <si>
    <r>
      <t>Eur/t</t>
    </r>
    <r>
      <rPr>
        <vertAlign val="subscript"/>
        <sz val="10"/>
        <color indexed="53"/>
        <rFont val="Times New Roman"/>
        <family val="1"/>
        <charset val="186"/>
      </rPr>
      <t>ne</t>
    </r>
  </si>
  <si>
    <t>EUR/kW per mėn.</t>
  </si>
  <si>
    <t>EUR per mėn. vart.</t>
  </si>
  <si>
    <t>EUR per mėn. kt. vart.</t>
  </si>
  <si>
    <t xml:space="preserve">                  KARŠTO VANDENS KAINOS SKAIČIAVIMAS  2015 METŲ VASARIO  MĖNESIUI</t>
  </si>
  <si>
    <r>
      <t>EUR/m</t>
    </r>
    <r>
      <rPr>
        <vertAlign val="superscript"/>
        <sz val="8"/>
        <color indexed="8"/>
        <rFont val="Times New Roman"/>
        <family val="1"/>
        <charset val="186"/>
      </rPr>
      <t>3</t>
    </r>
  </si>
  <si>
    <t>ast.info@takas.lt</t>
  </si>
  <si>
    <t>el. paštas jurate@anyksciusiluma.lt</t>
  </si>
  <si>
    <t>Tarybos 2014-10-30 sprendimas Nr. 1 - TS -347,  VKEKK 2014-12-19 nutarimas Nr. O3-948</t>
  </si>
  <si>
    <r>
      <t>T</t>
    </r>
    <r>
      <rPr>
        <vertAlign val="subscript"/>
        <sz val="8"/>
        <color indexed="8"/>
        <rFont val="Calibri"/>
        <family val="2"/>
        <charset val="186"/>
      </rPr>
      <t>nš kd</t>
    </r>
    <r>
      <rPr>
        <vertAlign val="subscript"/>
        <sz val="11"/>
        <color indexed="8"/>
        <rFont val="Times New Roman"/>
        <family val="1"/>
        <charset val="186"/>
      </rPr>
      <t>= 0,08+(4325,0 x T</t>
    </r>
    <r>
      <rPr>
        <vertAlign val="subscript"/>
        <sz val="8"/>
        <color indexed="8"/>
        <rFont val="Times New Roman"/>
        <family val="1"/>
        <charset val="186"/>
      </rPr>
      <t>d</t>
    </r>
    <r>
      <rPr>
        <vertAlign val="subscript"/>
        <sz val="11"/>
        <color indexed="8"/>
        <rFont val="Times New Roman"/>
        <family val="1"/>
        <charset val="186"/>
      </rPr>
      <t xml:space="preserve"> + 226,0 x T</t>
    </r>
    <r>
      <rPr>
        <vertAlign val="subscript"/>
        <sz val="8"/>
        <color indexed="8"/>
        <rFont val="Times New Roman"/>
        <family val="1"/>
        <charset val="186"/>
      </rPr>
      <t>med</t>
    </r>
    <r>
      <rPr>
        <vertAlign val="subscript"/>
        <sz val="11"/>
        <color indexed="8"/>
        <rFont val="Times New Roman"/>
        <family val="1"/>
        <charset val="186"/>
      </rPr>
      <t xml:space="preserve"> + 509,0 x T</t>
    </r>
    <r>
      <rPr>
        <vertAlign val="subscript"/>
        <sz val="8"/>
        <color indexed="8"/>
        <rFont val="Times New Roman"/>
        <family val="1"/>
        <charset val="186"/>
      </rPr>
      <t>a</t>
    </r>
    <r>
      <rPr>
        <vertAlign val="subscript"/>
        <sz val="11"/>
        <color indexed="8"/>
        <rFont val="Times New Roman"/>
        <family val="1"/>
        <charset val="186"/>
      </rPr>
      <t xml:space="preserve"> + 106,1 x T</t>
    </r>
    <r>
      <rPr>
        <vertAlign val="subscript"/>
        <sz val="8"/>
        <color indexed="8"/>
        <rFont val="Times New Roman"/>
        <family val="1"/>
        <charset val="186"/>
      </rPr>
      <t>pj</t>
    </r>
    <r>
      <rPr>
        <vertAlign val="subscript"/>
        <sz val="11"/>
        <color indexed="8"/>
        <rFont val="Times New Roman"/>
        <family val="1"/>
        <charset val="186"/>
      </rPr>
      <t>)  / (44,84 x 10000)</t>
    </r>
  </si>
  <si>
    <r>
      <t>T</t>
    </r>
    <r>
      <rPr>
        <vertAlign val="subscript"/>
        <sz val="12"/>
        <color indexed="8"/>
        <rFont val="Times New Roman"/>
        <family val="1"/>
        <charset val="186"/>
      </rPr>
      <t>pr kd = 0,12 + 7,24 x Tpt / 37,6</t>
    </r>
  </si>
  <si>
    <t>e.paštas ast.info@takas.lt</t>
  </si>
  <si>
    <r>
      <t xml:space="preserve">VKEKK 2014-08-28 nutarimas Nr.O3 -600, </t>
    </r>
    <r>
      <rPr>
        <b/>
        <i/>
        <sz val="11"/>
        <color indexed="60"/>
        <rFont val="Calibri"/>
        <family val="2"/>
        <charset val="186"/>
      </rPr>
      <t>savivaldybės tarybos 2014-10-30 sprendimas Nr.1-TS-381</t>
    </r>
  </si>
  <si>
    <r>
      <t>Euro/m</t>
    </r>
    <r>
      <rPr>
        <vertAlign val="superscript"/>
        <sz val="8"/>
        <rFont val="Times New Roman"/>
        <family val="1"/>
        <charset val="186"/>
      </rPr>
      <t>3</t>
    </r>
  </si>
  <si>
    <r>
      <t>Lt/m</t>
    </r>
    <r>
      <rPr>
        <vertAlign val="superscript"/>
        <sz val="8"/>
        <color indexed="30"/>
        <rFont val="Times New Roman"/>
        <family val="1"/>
        <charset val="186"/>
      </rPr>
      <t>3</t>
    </r>
  </si>
  <si>
    <r>
      <t>(51*T</t>
    </r>
    <r>
      <rPr>
        <vertAlign val="subscript"/>
        <sz val="10"/>
        <color indexed="8"/>
        <rFont val="Times New Roman"/>
        <family val="1"/>
        <charset val="186"/>
      </rPr>
      <t>š</t>
    </r>
    <r>
      <rPr>
        <sz val="10"/>
        <color indexed="8"/>
        <rFont val="Times New Roman"/>
        <family val="1"/>
        <charset val="186"/>
      </rPr>
      <t>)+(1,0*T</t>
    </r>
    <r>
      <rPr>
        <vertAlign val="subscript"/>
        <sz val="10"/>
        <color indexed="8"/>
        <rFont val="Times New Roman"/>
        <family val="1"/>
        <charset val="186"/>
      </rPr>
      <t>gv</t>
    </r>
    <r>
      <rPr>
        <sz val="10"/>
        <color indexed="8"/>
        <rFont val="Times New Roman"/>
        <family val="1"/>
        <charset val="186"/>
      </rPr>
      <t>)+(0,032*T</t>
    </r>
    <r>
      <rPr>
        <vertAlign val="subscript"/>
        <sz val="10"/>
        <color indexed="8"/>
        <rFont val="Times New Roman"/>
        <family val="1"/>
        <charset val="186"/>
      </rPr>
      <t>gv pard</t>
    </r>
    <r>
      <rPr>
        <sz val="10"/>
        <color indexed="8"/>
        <rFont val="Times New Roman"/>
        <family val="1"/>
        <charset val="186"/>
      </rPr>
      <t>)</t>
    </r>
  </si>
  <si>
    <t xml:space="preserve">                    ŠILUMOS KAINOS SKAIČIAVIMAS  2015 METŲ  kovo  MĖNESIUI </t>
  </si>
  <si>
    <r>
      <t>T</t>
    </r>
    <r>
      <rPr>
        <vertAlign val="subscript"/>
        <sz val="8"/>
        <color indexed="8"/>
        <rFont val="Calibri"/>
        <family val="2"/>
        <charset val="186"/>
      </rPr>
      <t>nš kd</t>
    </r>
    <r>
      <rPr>
        <vertAlign val="subscript"/>
        <sz val="11"/>
        <color indexed="8"/>
        <rFont val="Times New Roman"/>
        <family val="1"/>
        <charset val="186"/>
      </rPr>
      <t>= 0,08+(44951x T</t>
    </r>
    <r>
      <rPr>
        <vertAlign val="subscript"/>
        <sz val="8"/>
        <color indexed="8"/>
        <rFont val="Times New Roman"/>
        <family val="1"/>
        <charset val="186"/>
      </rPr>
      <t>d</t>
    </r>
    <r>
      <rPr>
        <vertAlign val="subscript"/>
        <sz val="11"/>
        <color indexed="8"/>
        <rFont val="Times New Roman"/>
        <family val="1"/>
        <charset val="186"/>
      </rPr>
      <t xml:space="preserve"> + 226,0 x T</t>
    </r>
    <r>
      <rPr>
        <vertAlign val="subscript"/>
        <sz val="8"/>
        <color indexed="8"/>
        <rFont val="Times New Roman"/>
        <family val="1"/>
        <charset val="186"/>
      </rPr>
      <t>med</t>
    </r>
    <r>
      <rPr>
        <vertAlign val="subscript"/>
        <sz val="11"/>
        <color indexed="8"/>
        <rFont val="Times New Roman"/>
        <family val="1"/>
        <charset val="186"/>
      </rPr>
      <t xml:space="preserve"> + 509,0 x T</t>
    </r>
    <r>
      <rPr>
        <vertAlign val="subscript"/>
        <sz val="8"/>
        <color indexed="8"/>
        <rFont val="Times New Roman"/>
        <family val="1"/>
        <charset val="186"/>
      </rPr>
      <t>a</t>
    </r>
    <r>
      <rPr>
        <vertAlign val="subscript"/>
        <sz val="11"/>
        <color indexed="8"/>
        <rFont val="Times New Roman"/>
        <family val="1"/>
        <charset val="186"/>
      </rPr>
      <t xml:space="preserve"> + 106,1 x T</t>
    </r>
    <r>
      <rPr>
        <vertAlign val="subscript"/>
        <sz val="8"/>
        <color indexed="8"/>
        <rFont val="Times New Roman"/>
        <family val="1"/>
        <charset val="186"/>
      </rPr>
      <t>pj</t>
    </r>
    <r>
      <rPr>
        <vertAlign val="subscript"/>
        <sz val="11"/>
        <color indexed="8"/>
        <rFont val="Times New Roman"/>
        <family val="1"/>
        <charset val="186"/>
      </rPr>
      <t>)  / (44,84 x 10000)</t>
    </r>
  </si>
  <si>
    <t>Eur/MWh</t>
  </si>
  <si>
    <t>šilumos gamybos savo šaltinyje kainos kintamoji dedamoji</t>
  </si>
  <si>
    <t xml:space="preserve">                  KARŠTO VANDENS KAINOS SKAIČIAVIMAS  2015 METŲ KOVO  MĖNESIUI</t>
  </si>
  <si>
    <r>
      <t xml:space="preserve">VKEKK 2014-07-28 nutarimas Nr.O3 -600, </t>
    </r>
    <r>
      <rPr>
        <b/>
        <i/>
        <sz val="11"/>
        <color indexed="60"/>
        <rFont val="Calibri"/>
        <family val="2"/>
        <charset val="186"/>
      </rPr>
      <t>savivaldybės tarybos 2014-10-30 sprendimas Nr.1-TS-381</t>
    </r>
  </si>
  <si>
    <t>Energetikos, geriamojo vandens tiekimo ir nuotekų</t>
  </si>
  <si>
    <t>tvarkymo, paviršinių nuotekų tvarkymo įmonių</t>
  </si>
  <si>
    <t>informacijos teikimo taisyklių</t>
  </si>
  <si>
    <t>Duomenys apie ūkio subjektą:</t>
  </si>
  <si>
    <t>Duomenys apie kontaktinį asmenį:</t>
  </si>
  <si>
    <t>UAB „Anykščių šiluma"</t>
  </si>
  <si>
    <t>J.Butkuvienė</t>
  </si>
  <si>
    <t>vyresnioji ekonomistė</t>
  </si>
  <si>
    <t>Verkių g. 25C-1, Vilnius, LT-08223, rastine@regula. lt</t>
  </si>
  <si>
    <t xml:space="preserve">                    ŠILUMOS KAINOS SKAIČIAVIMAS  2015 METŲ  balandžio  MĖNESIUI </t>
  </si>
  <si>
    <t xml:space="preserve"> 2015-03-24</t>
  </si>
  <si>
    <t>31 priedas</t>
  </si>
  <si>
    <t>ŠILUMOS (PRODUKTO) GAMYBOS KAINOS DEDAMOSIOS</t>
  </si>
  <si>
    <t>šilumos (produkto) gamybos savo šaltiniuose kainos kintamoji dedamoji</t>
  </si>
  <si>
    <t>šilumos (produkto) gamybos savo šaltiniuose kainos pastovioji dedamoji</t>
  </si>
  <si>
    <r>
      <t xml:space="preserve">šilumos (produkto) gamybos savo šaltiniuose vienanarė kaina (kainos dedamosios) </t>
    </r>
    <r>
      <rPr>
        <sz val="8"/>
        <color indexed="8"/>
        <rFont val="Times New Roman"/>
        <family val="1"/>
      </rPr>
      <t>(1.1.1.+1.1.2.)</t>
    </r>
  </si>
  <si>
    <t>formulė</t>
  </si>
  <si>
    <r>
      <t>T</t>
    </r>
    <r>
      <rPr>
        <vertAlign val="subscript"/>
        <sz val="11"/>
        <color indexed="8"/>
        <rFont val="Times New Roman"/>
        <family val="1"/>
      </rPr>
      <t>HG</t>
    </r>
    <r>
      <rPr>
        <sz val="11"/>
        <color indexed="8"/>
        <rFont val="Times New Roman"/>
        <family val="1"/>
      </rPr>
      <t xml:space="preserve"> = T</t>
    </r>
    <r>
      <rPr>
        <vertAlign val="subscript"/>
        <sz val="11"/>
        <color indexed="8"/>
        <rFont val="Times New Roman"/>
        <family val="1"/>
      </rPr>
      <t>HG,PD</t>
    </r>
    <r>
      <rPr>
        <sz val="11"/>
        <color indexed="8"/>
        <rFont val="Times New Roman"/>
        <family val="1"/>
      </rPr>
      <t xml:space="preserve"> + T</t>
    </r>
    <r>
      <rPr>
        <vertAlign val="subscript"/>
        <sz val="11"/>
        <color indexed="8"/>
        <rFont val="Times New Roman"/>
        <family val="1"/>
      </rPr>
      <t>HG,KD</t>
    </r>
  </si>
  <si>
    <r>
      <t>T</t>
    </r>
    <r>
      <rPr>
        <vertAlign val="subscript"/>
        <sz val="11"/>
        <color indexed="8"/>
        <rFont val="Times New Roman"/>
        <family val="1"/>
      </rPr>
      <t>HG,PD</t>
    </r>
  </si>
  <si>
    <t>Kuro rūšys, naudojamos šilumos kainos kintamosios dedamosios skaičiavimuose</t>
  </si>
  <si>
    <t>1.2.4.</t>
  </si>
  <si>
    <t>1.2.4.1.</t>
  </si>
  <si>
    <t>1.2.4.2.</t>
  </si>
  <si>
    <t>1.2.4.3.</t>
  </si>
  <si>
    <t xml:space="preserve">šilumos įsigijimo (vidutinė) kaina </t>
  </si>
  <si>
    <t>nepriklausomas šilumos gamintojas</t>
  </si>
  <si>
    <t>šilumos įsigijimo kaina</t>
  </si>
  <si>
    <t>šilumos (produkto) gamybos (įsigijimo) vienanarė kaina (kainos dedamosios) (1.4.1.+1.4.2.)</t>
  </si>
  <si>
    <t>šilumos (produkto) gamybos (įsigijimo) dvinarė kaina:</t>
  </si>
  <si>
    <t>pastovioji kainos dalis (mėnesio užmokestis)</t>
  </si>
  <si>
    <t>Eur/kW per mėn.</t>
  </si>
  <si>
    <t>šilumos perdavimo vienanarė kaina (kainos dedamosios)  (2.1.1.+2.1.2.)</t>
  </si>
  <si>
    <t>šilumos perdavimo  dvinarė kaina (kainos dedamosios):</t>
  </si>
  <si>
    <t>kintamoji kainos dalis (2.1.2)</t>
  </si>
  <si>
    <t>MAŽMENINIO APTARNAVIMO KAINA (KAINOS DEDAMOSIOS)</t>
  </si>
  <si>
    <t>vartotojams už suvartotą šilumos kiekį</t>
  </si>
  <si>
    <t>3.2.</t>
  </si>
  <si>
    <t>3.3.</t>
  </si>
  <si>
    <r>
      <t>T</t>
    </r>
    <r>
      <rPr>
        <vertAlign val="subscript"/>
        <sz val="11"/>
        <color indexed="8"/>
        <rFont val="Times New Roman"/>
        <family val="1"/>
      </rPr>
      <t>HS,PD</t>
    </r>
  </si>
  <si>
    <t>PAPILDOMA KURO IR (AR) ŠILUMOS ĮSIGIJIMO IŠ NEPRIKLAUSOMŲ ŠILUMOS GAMINTOJŲ SĄNAUDŲ AR PAJAMŲ NEATITIKIMO DEDAMOJI</t>
  </si>
  <si>
    <t>APSKAIČIUOTA ŠILUMOS VIENANARĖ KAINA (KAINOS DEDAMOSIOS) (1.4.+2.1.+3.1.+4.1.+4.2.)</t>
  </si>
  <si>
    <t>euro ct/kWh (ct/kWh)</t>
  </si>
  <si>
    <t>Apskaičiuotas kainos pokytis, lyginant su galiojančia šilumos kaina</t>
  </si>
  <si>
    <t>tūkst. kWh</t>
  </si>
  <si>
    <t>Praėjusį mėnesį faktiškai į tinklą patiektas šilumos kiekis Anykščių r. sav.</t>
  </si>
  <si>
    <t>Praėjusį mėnesį faktiškai realizuotas šilumos kiekis Anykščių r. sav.</t>
  </si>
  <si>
    <t>Praėjusį mėnesį faktiškai pirktos iš nepriklausomų šilumos gamintojų šilumos kiekis</t>
  </si>
  <si>
    <t>Kodas - 154112751</t>
  </si>
  <si>
    <t>Buveinės adresas - Vairuotojų g. 11, 29107 Anykščiai</t>
  </si>
  <si>
    <t>Telefonas - 8 381 59165</t>
  </si>
  <si>
    <t>Faksas - 8 381 59441</t>
  </si>
  <si>
    <t>Tinklalapis - www.anyksciusiluma.lt</t>
  </si>
  <si>
    <t>El. paštas - ast.info@takas.lt</t>
  </si>
  <si>
    <t>Telefonas - 8 381 59167</t>
  </si>
  <si>
    <t>El. paštas - jurate@anyksciusiluma.lt</t>
  </si>
  <si>
    <r>
      <t>T</t>
    </r>
    <r>
      <rPr>
        <vertAlign val="subscript"/>
        <sz val="11"/>
        <color indexed="8"/>
        <rFont val="Times New Roman"/>
        <family val="1"/>
      </rPr>
      <t>H</t>
    </r>
    <r>
      <rPr>
        <sz val="11"/>
        <color indexed="8"/>
        <rFont val="Times New Roman"/>
        <family val="1"/>
      </rPr>
      <t>=T</t>
    </r>
    <r>
      <rPr>
        <vertAlign val="subscript"/>
        <sz val="11"/>
        <color indexed="8"/>
        <rFont val="Times New Roman"/>
        <family val="1"/>
      </rPr>
      <t>H,PD</t>
    </r>
    <r>
      <rPr>
        <sz val="11"/>
        <color indexed="8"/>
        <rFont val="Times New Roman"/>
        <family val="1"/>
      </rPr>
      <t xml:space="preserve"> +T</t>
    </r>
    <r>
      <rPr>
        <vertAlign val="subscript"/>
        <sz val="11"/>
        <color indexed="8"/>
        <rFont val="Times New Roman"/>
        <family val="1"/>
      </rPr>
      <t>H,KD</t>
    </r>
  </si>
  <si>
    <r>
      <t>T</t>
    </r>
    <r>
      <rPr>
        <vertAlign val="subscript"/>
        <sz val="11"/>
        <color indexed="8"/>
        <rFont val="Times New Roman"/>
        <family val="1"/>
      </rPr>
      <t>H,PD</t>
    </r>
  </si>
  <si>
    <r>
      <t>T</t>
    </r>
    <r>
      <rPr>
        <vertAlign val="subscript"/>
        <sz val="11"/>
        <color indexed="8"/>
        <rFont val="Times New Roman"/>
        <family val="1"/>
      </rPr>
      <t>H,KD</t>
    </r>
  </si>
  <si>
    <r>
      <t>T</t>
    </r>
    <r>
      <rPr>
        <vertAlign val="superscript"/>
        <sz val="11"/>
        <color indexed="8"/>
        <rFont val="Times New Roman"/>
        <family val="1"/>
      </rPr>
      <t>1</t>
    </r>
    <r>
      <rPr>
        <vertAlign val="subscript"/>
        <sz val="11"/>
        <color indexed="8"/>
        <rFont val="Times New Roman"/>
        <family val="1"/>
      </rPr>
      <t>H,PD</t>
    </r>
  </si>
  <si>
    <r>
      <t>T</t>
    </r>
    <r>
      <rPr>
        <vertAlign val="subscript"/>
        <sz val="11"/>
        <color indexed="8"/>
        <rFont val="Times New Roman"/>
        <family val="1"/>
      </rPr>
      <t>HT</t>
    </r>
    <r>
      <rPr>
        <sz val="11"/>
        <color indexed="8"/>
        <rFont val="Times New Roman"/>
        <family val="1"/>
      </rPr>
      <t xml:space="preserve"> = T</t>
    </r>
    <r>
      <rPr>
        <vertAlign val="subscript"/>
        <sz val="11"/>
        <color indexed="8"/>
        <rFont val="Times New Roman"/>
        <family val="1"/>
      </rPr>
      <t xml:space="preserve">HT,PD </t>
    </r>
    <r>
      <rPr>
        <sz val="11"/>
        <color indexed="8"/>
        <rFont val="Times New Roman"/>
        <family val="1"/>
      </rPr>
      <t>+ T</t>
    </r>
    <r>
      <rPr>
        <vertAlign val="subscript"/>
        <sz val="11"/>
        <color indexed="8"/>
        <rFont val="Times New Roman"/>
        <family val="1"/>
      </rPr>
      <t>HT,KD</t>
    </r>
  </si>
  <si>
    <r>
      <t>T</t>
    </r>
    <r>
      <rPr>
        <vertAlign val="subscript"/>
        <sz val="11"/>
        <color indexed="8"/>
        <rFont val="Times New Roman"/>
        <family val="1"/>
      </rPr>
      <t>HT,PD</t>
    </r>
  </si>
  <si>
    <r>
      <t>T</t>
    </r>
    <r>
      <rPr>
        <vertAlign val="superscript"/>
        <sz val="11"/>
        <color indexed="8"/>
        <rFont val="Times New Roman"/>
        <family val="1"/>
      </rPr>
      <t>1</t>
    </r>
    <r>
      <rPr>
        <vertAlign val="subscript"/>
        <sz val="11"/>
        <color indexed="8"/>
        <rFont val="Times New Roman"/>
        <family val="1"/>
      </rPr>
      <t>HT,PD</t>
    </r>
  </si>
  <si>
    <r>
      <t>T</t>
    </r>
    <r>
      <rPr>
        <vertAlign val="subscript"/>
        <sz val="11"/>
        <color indexed="8"/>
        <rFont val="Times New Roman"/>
        <family val="1"/>
      </rPr>
      <t>HT,KD</t>
    </r>
  </si>
  <si>
    <t xml:space="preserve">                  KARŠTO VANDENS KAINOS SKAIČIAVIMAS  2015 METŲ BALANDŽIO  MĖNESIUI</t>
  </si>
  <si>
    <t>32 priedas</t>
  </si>
  <si>
    <r>
      <t>Eur/m</t>
    </r>
    <r>
      <rPr>
        <vertAlign val="superscript"/>
        <sz val="8"/>
        <rFont val="Times New Roman"/>
        <family val="1"/>
        <charset val="186"/>
      </rPr>
      <t>3</t>
    </r>
  </si>
  <si>
    <r>
      <t>Eur/m</t>
    </r>
    <r>
      <rPr>
        <vertAlign val="superscript"/>
        <sz val="8"/>
        <color indexed="8"/>
        <rFont val="Times New Roman"/>
        <family val="1"/>
        <charset val="186"/>
      </rPr>
      <t>3</t>
    </r>
  </si>
  <si>
    <r>
      <t>Eur/t</t>
    </r>
    <r>
      <rPr>
        <vertAlign val="subscript"/>
        <sz val="10"/>
        <rFont val="Times New Roman"/>
        <family val="1"/>
        <charset val="186"/>
      </rPr>
      <t>ne</t>
    </r>
  </si>
  <si>
    <t>kitiems vartotojams (mėnesio užmokestis)</t>
  </si>
  <si>
    <t xml:space="preserve">Eur/ mėn. </t>
  </si>
  <si>
    <t>gyventojams (butui) mėnesio užmokestis</t>
  </si>
  <si>
    <r>
      <t>T</t>
    </r>
    <r>
      <rPr>
        <vertAlign val="superscript"/>
        <sz val="11"/>
        <color indexed="8"/>
        <rFont val="Times New Roman"/>
        <family val="1"/>
        <charset val="186"/>
      </rPr>
      <t>1</t>
    </r>
    <r>
      <rPr>
        <vertAlign val="subscript"/>
        <sz val="11"/>
        <color indexed="8"/>
        <rFont val="Times New Roman"/>
        <family val="1"/>
        <charset val="186"/>
      </rPr>
      <t>HS,PD</t>
    </r>
  </si>
  <si>
    <r>
      <t>T</t>
    </r>
    <r>
      <rPr>
        <vertAlign val="superscript"/>
        <sz val="11"/>
        <color indexed="8"/>
        <rFont val="Times New Roman"/>
        <family val="1"/>
        <charset val="186"/>
      </rPr>
      <t>2</t>
    </r>
    <r>
      <rPr>
        <vertAlign val="subscript"/>
        <sz val="11"/>
        <color indexed="8"/>
        <rFont val="Times New Roman"/>
        <family val="1"/>
        <charset val="186"/>
      </rPr>
      <t>HS,PD</t>
    </r>
    <r>
      <rPr>
        <sz val="11"/>
        <color indexed="8"/>
        <rFont val="Times New Roman"/>
        <family val="1"/>
        <charset val="186"/>
      </rPr>
      <t xml:space="preserve"> </t>
    </r>
  </si>
  <si>
    <t>Anykščių rajono savivaldybės tarybos 2014-01-30 sprendimas Nr. 1 - TS -28 (redakcija 2014-03-27 Nr.1-TS-146, 2014-10-30 Nr.1-TS-347),  VKEKK 2014-12-19 nutarimas Nr. O3-948</t>
  </si>
  <si>
    <t>2014-01-30 Nr.1-TS-28 (su pakeitimais)</t>
  </si>
  <si>
    <t>2014-05-01 - 2015-04-30</t>
  </si>
  <si>
    <r>
      <t>T</t>
    </r>
    <r>
      <rPr>
        <vertAlign val="subscript"/>
        <sz val="11"/>
        <color indexed="8"/>
        <rFont val="Times New Roman"/>
        <family val="1"/>
        <charset val="186"/>
      </rPr>
      <t>HT,KD</t>
    </r>
  </si>
  <si>
    <r>
      <t>T</t>
    </r>
    <r>
      <rPr>
        <vertAlign val="subscript"/>
        <sz val="11"/>
        <color indexed="8"/>
        <rFont val="Times New Roman"/>
        <family val="1"/>
        <charset val="186"/>
      </rPr>
      <t>HG,KD</t>
    </r>
  </si>
  <si>
    <t>formulė*</t>
  </si>
  <si>
    <t>* perskaičiuotas gamtinių dujų kiekis, naudojamas šilumos kainos kintamosios dedamosios perskaičiavime, yra 44951 MWh</t>
  </si>
  <si>
    <r>
      <t>T</t>
    </r>
    <r>
      <rPr>
        <vertAlign val="subscript"/>
        <sz val="8"/>
        <color indexed="8"/>
        <rFont val="Times New Roman"/>
        <family val="1"/>
        <charset val="186"/>
      </rPr>
      <t>HG,KD</t>
    </r>
    <r>
      <rPr>
        <sz val="8"/>
        <color indexed="8"/>
        <rFont val="Times New Roman"/>
        <family val="1"/>
        <charset val="186"/>
      </rPr>
      <t>= 0,08+(4325,0x Td + 226,0 x Tmed + 509,0 x Ta + 106,1 x Tpj)  / (44,84 x 10000)</t>
    </r>
  </si>
  <si>
    <r>
      <t>T</t>
    </r>
    <r>
      <rPr>
        <vertAlign val="subscript"/>
        <sz val="9"/>
        <color indexed="8"/>
        <rFont val="Times New Roman"/>
        <family val="1"/>
        <charset val="186"/>
      </rPr>
      <t>HT,KD</t>
    </r>
    <r>
      <rPr>
        <sz val="9"/>
        <color indexed="8"/>
        <rFont val="Times New Roman"/>
        <family val="1"/>
        <charset val="186"/>
      </rPr>
      <t xml:space="preserve"> = 0,12 + 7,24 x Tpt / 37,6</t>
    </r>
  </si>
  <si>
    <t>2014-06-26 Nr. 1-TS-229 (su pakeitimais)</t>
  </si>
  <si>
    <r>
      <t>Lt/m</t>
    </r>
    <r>
      <rPr>
        <vertAlign val="superscript"/>
        <sz val="8"/>
        <color indexed="30"/>
        <rFont val="Times New Roman"/>
        <family val="1"/>
        <charset val="186"/>
      </rPr>
      <t>3</t>
    </r>
  </si>
  <si>
    <r>
      <t xml:space="preserve">VKEKK 2014-02-14 nutarimas Nr. O3-50 (redakcija 2014-07-28 Nr.O3 -600),Anykščių r. </t>
    </r>
    <r>
      <rPr>
        <b/>
        <i/>
        <sz val="10"/>
        <rFont val="Calibri"/>
        <family val="2"/>
        <charset val="186"/>
      </rPr>
      <t>savivaldybės tarybos 2014-06-26 Nr. 1-TS-229 (redakcija 2014-10-30 sprendimas Nr.1-TS-381)</t>
    </r>
  </si>
  <si>
    <t xml:space="preserve">                    ŠILUMOS KAINOS SKAIČIAVIMAS  2015 METŲ  gegužės  MĖNESIUI </t>
  </si>
  <si>
    <t xml:space="preserve"> 2015-04-24</t>
  </si>
  <si>
    <t xml:space="preserve">                  KARŠTO VANDENS KAINOS SKAIČIAVIMAS  2015 METŲ GEGUŽĖS  MĖNESIUI</t>
  </si>
  <si>
    <t xml:space="preserve">                    ŠILUMOS KAINOS SKAIČIAVIMAS  2015 METŲ  birželio  MĖNESIUI </t>
  </si>
  <si>
    <t xml:space="preserve"> 2015-05-25</t>
  </si>
  <si>
    <t xml:space="preserve">                  KARŠTO VANDENS KAINOS SKAIČIAVIMAS  2015 METŲ birželio  MĖNESIUI</t>
  </si>
  <si>
    <r>
      <t xml:space="preserve">VKEKK 2015-04-30 nutarimas Nr. O3-275, Anykščių r. </t>
    </r>
    <r>
      <rPr>
        <b/>
        <i/>
        <sz val="10"/>
        <rFont val="Calibri"/>
        <family val="2"/>
        <charset val="186"/>
      </rPr>
      <t>savivaldybės tarybos 2014-06-26 Nr. 1-TS-229 (redakcija 2014-10-30 sprendimas Nr.1-TS-381)</t>
    </r>
  </si>
  <si>
    <r>
      <t>(51,85*T</t>
    </r>
    <r>
      <rPr>
        <vertAlign val="subscript"/>
        <sz val="10"/>
        <color indexed="8"/>
        <rFont val="Times New Roman"/>
        <family val="1"/>
        <charset val="186"/>
      </rPr>
      <t>š</t>
    </r>
    <r>
      <rPr>
        <sz val="10"/>
        <color indexed="8"/>
        <rFont val="Times New Roman"/>
        <family val="1"/>
        <charset val="186"/>
      </rPr>
      <t>)+(1,017*T</t>
    </r>
    <r>
      <rPr>
        <vertAlign val="subscript"/>
        <sz val="10"/>
        <color indexed="8"/>
        <rFont val="Times New Roman"/>
        <family val="1"/>
        <charset val="186"/>
      </rPr>
      <t>gv</t>
    </r>
    <r>
      <rPr>
        <sz val="10"/>
        <color indexed="8"/>
        <rFont val="Times New Roman"/>
        <family val="1"/>
        <charset val="186"/>
      </rPr>
      <t>)+(0,034*T</t>
    </r>
    <r>
      <rPr>
        <vertAlign val="subscript"/>
        <sz val="10"/>
        <color indexed="8"/>
        <rFont val="Times New Roman"/>
        <family val="1"/>
        <charset val="186"/>
      </rPr>
      <t>gv pard</t>
    </r>
    <r>
      <rPr>
        <sz val="10"/>
        <color indexed="8"/>
        <rFont val="Times New Roman"/>
        <family val="1"/>
        <charset val="186"/>
      </rPr>
      <t>)</t>
    </r>
  </si>
  <si>
    <r>
      <t>(51*T</t>
    </r>
    <r>
      <rPr>
        <vertAlign val="subscript"/>
        <sz val="10"/>
        <color indexed="8"/>
        <rFont val="Times New Roman"/>
        <family val="1"/>
        <charset val="186"/>
      </rPr>
      <t>š</t>
    </r>
    <r>
      <rPr>
        <sz val="10"/>
        <color indexed="8"/>
        <rFont val="Times New Roman"/>
        <family val="1"/>
        <charset val="186"/>
      </rPr>
      <t>)+(1,0*T</t>
    </r>
    <r>
      <rPr>
        <vertAlign val="subscript"/>
        <sz val="10"/>
        <color indexed="8"/>
        <rFont val="Times New Roman"/>
        <family val="1"/>
        <charset val="186"/>
      </rPr>
      <t>gv</t>
    </r>
    <r>
      <rPr>
        <sz val="10"/>
        <color indexed="8"/>
        <rFont val="Times New Roman"/>
        <family val="1"/>
        <charset val="186"/>
      </rPr>
      <t>)+(0,034*T</t>
    </r>
    <r>
      <rPr>
        <vertAlign val="subscript"/>
        <sz val="10"/>
        <color indexed="8"/>
        <rFont val="Times New Roman"/>
        <family val="1"/>
        <charset val="186"/>
      </rPr>
      <t>gv pard</t>
    </r>
    <r>
      <rPr>
        <sz val="10"/>
        <color indexed="8"/>
        <rFont val="Times New Roman"/>
        <family val="1"/>
        <charset val="186"/>
      </rPr>
      <t>)</t>
    </r>
  </si>
  <si>
    <t xml:space="preserve">                    ŠILUMOS KAINOS SKAIČIAVIMAS  2015 METŲ  liepos  MĖNESIUI </t>
  </si>
  <si>
    <t xml:space="preserve">                  KARŠTO VANDENS KAINOS SKAIČIAVIMAS  2015 METŲ liepos  MĖNESIUI</t>
  </si>
  <si>
    <t>** Pridėtinės vertės mokesčio 9 procentų tarifas taikomas Lietuvos Respublikos Seimui priėmus Lietuvos Respublikos pridėtinės vertės mokesčio įstatymo Nr.IX-751 19 straipsnio pakeitimo įstatymą.</t>
  </si>
  <si>
    <t>Galutinė šilumos vienanarė kaina (su 9 proc. PVM)**</t>
  </si>
  <si>
    <t xml:space="preserve"> 2015-06-25</t>
  </si>
  <si>
    <t>Galutinė karšto vandens  kaina (su 9 % PVM) *</t>
  </si>
  <si>
    <t xml:space="preserve">* Pridėtinės vertės mokesčio 9 procentų tarifas taikomas Lietuvos Respublikos Seimui priėmus Lietuvos Respublikos pridėtinės vertės mokesčio įstatymo Nr.IX-751 19 straipsnio pakeitimo įstatymą. 
</t>
  </si>
  <si>
    <t xml:space="preserve">                    ŠILUMOS KAINOS SKAIČIAVIMAS  2015 METŲ  rugpjūčio  MĖNESIUI </t>
  </si>
  <si>
    <t>Anykščių rajono savivaldybės tarybos 2015-01-29 sprendimas Nr. 1 - TS -25 (redakcija 2015-05-28 Nr.1-TS-188),  VKEKK 2015-06-26 nutarimas Nr. O3-395</t>
  </si>
  <si>
    <r>
      <t>T</t>
    </r>
    <r>
      <rPr>
        <vertAlign val="subscript"/>
        <sz val="8"/>
        <color indexed="8"/>
        <rFont val="Times New Roman"/>
        <family val="1"/>
        <charset val="186"/>
      </rPr>
      <t>HG,KD</t>
    </r>
    <r>
      <rPr>
        <sz val="8"/>
        <color indexed="8"/>
        <rFont val="Times New Roman"/>
        <family val="1"/>
        <charset val="186"/>
      </rPr>
      <t>= T</t>
    </r>
    <r>
      <rPr>
        <vertAlign val="subscript"/>
        <sz val="8"/>
        <color indexed="8"/>
        <rFont val="Times New Roman"/>
        <family val="1"/>
        <charset val="186"/>
      </rPr>
      <t>H,KD</t>
    </r>
    <r>
      <rPr>
        <sz val="8"/>
        <color indexed="8"/>
        <rFont val="Times New Roman"/>
        <family val="1"/>
        <charset val="186"/>
      </rPr>
      <t>=0,09+(44951x p</t>
    </r>
    <r>
      <rPr>
        <vertAlign val="subscript"/>
        <sz val="8"/>
        <color indexed="8"/>
        <rFont val="Times New Roman"/>
        <family val="1"/>
        <charset val="186"/>
      </rPr>
      <t>HG,d</t>
    </r>
    <r>
      <rPr>
        <sz val="8"/>
        <color indexed="8"/>
        <rFont val="Times New Roman"/>
        <family val="1"/>
        <charset val="186"/>
      </rPr>
      <t xml:space="preserve"> + 226,0 x p</t>
    </r>
    <r>
      <rPr>
        <vertAlign val="subscript"/>
        <sz val="8"/>
        <color indexed="8"/>
        <rFont val="Times New Roman"/>
        <family val="1"/>
        <charset val="186"/>
      </rPr>
      <t>HG,med</t>
    </r>
    <r>
      <rPr>
        <sz val="8"/>
        <color indexed="8"/>
        <rFont val="Times New Roman"/>
        <family val="1"/>
        <charset val="186"/>
      </rPr>
      <t xml:space="preserve"> + 509,0 x p</t>
    </r>
    <r>
      <rPr>
        <vertAlign val="subscript"/>
        <sz val="8"/>
        <color indexed="8"/>
        <rFont val="Times New Roman"/>
        <family val="1"/>
        <charset val="186"/>
      </rPr>
      <t>HG,a</t>
    </r>
    <r>
      <rPr>
        <sz val="8"/>
        <color indexed="8"/>
        <rFont val="Times New Roman"/>
        <family val="1"/>
        <charset val="186"/>
      </rPr>
      <t xml:space="preserve"> + 106,1 x p</t>
    </r>
    <r>
      <rPr>
        <vertAlign val="subscript"/>
        <sz val="8"/>
        <color indexed="8"/>
        <rFont val="Times New Roman"/>
        <family val="1"/>
        <charset val="186"/>
      </rPr>
      <t>HG,pj</t>
    </r>
    <r>
      <rPr>
        <sz val="8"/>
        <color indexed="8"/>
        <rFont val="Times New Roman"/>
        <family val="1"/>
        <charset val="186"/>
      </rPr>
      <t>)  / (44,84 x 10000)</t>
    </r>
  </si>
  <si>
    <r>
      <t>T</t>
    </r>
    <r>
      <rPr>
        <vertAlign val="subscript"/>
        <sz val="9"/>
        <color indexed="8"/>
        <rFont val="Times New Roman"/>
        <family val="1"/>
        <charset val="186"/>
      </rPr>
      <t>HT,KD</t>
    </r>
    <r>
      <rPr>
        <sz val="9"/>
        <color indexed="8"/>
        <rFont val="Times New Roman"/>
        <family val="1"/>
        <charset val="186"/>
      </rPr>
      <t xml:space="preserve"> = 0,12 + (7,24 x T</t>
    </r>
    <r>
      <rPr>
        <vertAlign val="subscript"/>
        <sz val="9"/>
        <color indexed="8"/>
        <rFont val="Times New Roman"/>
        <family val="1"/>
        <charset val="186"/>
      </rPr>
      <t>H</t>
    </r>
    <r>
      <rPr>
        <sz val="9"/>
        <color indexed="8"/>
        <rFont val="Times New Roman"/>
        <family val="1"/>
        <charset val="186"/>
      </rPr>
      <t>) / 37,6</t>
    </r>
  </si>
  <si>
    <t xml:space="preserve">                  KARŠTO VANDENS KAINOS SKAIČIAVIMAS  2015 METŲ rugpjūčio  MĖNESIUI</t>
  </si>
  <si>
    <t xml:space="preserve"> 2015-07-20</t>
  </si>
  <si>
    <t xml:space="preserve">                    ŠILUMOS KAINOS SKAIČIAVIMAS  2015 METŲ  rugsėjo  MĖNESIUI </t>
  </si>
  <si>
    <t xml:space="preserve"> 2015-08-24</t>
  </si>
  <si>
    <t xml:space="preserve">                  KARŠTO VANDENS KAINOS SKAIČIAVIMAS  2015 METŲ rugsėjo  MĖNESIUI</t>
  </si>
  <si>
    <t xml:space="preserve">                    ŠILUMOS KAINOS SKAIČIAVIMAS  2015 METŲ  spalio  MĖNESIUI </t>
  </si>
  <si>
    <t xml:space="preserve"> 2015-09-24</t>
  </si>
  <si>
    <t>Galutinė šilumos vienanarė kaina (su 9 proc. PVM)</t>
  </si>
  <si>
    <t xml:space="preserve">                  KARŠTO VANDENS KAINOS SKAIČIAVIMAS  2015 METŲ spalio  MĖNESIUI</t>
  </si>
  <si>
    <t xml:space="preserve">Galutinė karšto vandens  kaina (su 9 % PVM) </t>
  </si>
  <si>
    <t xml:space="preserve">                    ŠILUMOS KAINOS SKAIČIAVIMAS  2015 METŲ  lapkričio  MĖNESIUI </t>
  </si>
  <si>
    <t xml:space="preserve"> 2015-10-22</t>
  </si>
  <si>
    <t xml:space="preserve">                  KARŠTO VANDENS KAINOS SKAIČIAVIMAS  2015 METŲ lapkričio  MĖNESIUI</t>
  </si>
  <si>
    <t xml:space="preserve">                  KARŠTO VANDENS KAINOS SKAIČIAVIMAS  2016 METŲ SAUSIO  MĖNESIUI</t>
  </si>
  <si>
    <t>V.Karlonienė</t>
  </si>
  <si>
    <t>El. paštas - ekonomiste@anyksciusiluma.lt</t>
  </si>
  <si>
    <t xml:space="preserve"> 2015-12-21</t>
  </si>
  <si>
    <t>Vaida Karlonienė</t>
  </si>
  <si>
    <t>el. paštas -  ekonomiste@anyksciusiluma.lt</t>
  </si>
  <si>
    <t xml:space="preserve">                    ŠILUMOS KAINOS SKAIČIAVIMAS  2016 METŲ  SAUSIO  MĖNESIUI </t>
  </si>
  <si>
    <t xml:space="preserve">                  KARŠTO VANDENS KAINOS SKAIČIAVIMAS  2016 METŲ VASARIO  MĖNESIUI</t>
  </si>
  <si>
    <t xml:space="preserve"> 2016-01-21</t>
  </si>
  <si>
    <t xml:space="preserve">                    ŠILUMOS KAINOS SKAIČIAVIMAS  2016 METŲ  VASARIO  MĖNESIUI </t>
  </si>
  <si>
    <t>1.2.5.</t>
  </si>
  <si>
    <t>1.2.6.</t>
  </si>
  <si>
    <t>1.2.7.</t>
  </si>
  <si>
    <t>1.2.5.1.</t>
  </si>
  <si>
    <t>1.2.5.2.</t>
  </si>
  <si>
    <t>1.2.5.3.</t>
  </si>
  <si>
    <t>1.2.6.1.</t>
  </si>
  <si>
    <t>1.2.6.2.</t>
  </si>
  <si>
    <t>1.2.6.3.</t>
  </si>
  <si>
    <t>1.2.7.1.</t>
  </si>
  <si>
    <t>1.2.7.2.</t>
  </si>
  <si>
    <t>1.7.2.3.</t>
  </si>
  <si>
    <t>Pjuvenos</t>
  </si>
  <si>
    <t>Medžio granulės</t>
  </si>
  <si>
    <t>Malkinė mediena</t>
  </si>
  <si>
    <t>Biokuras (skiedros)</t>
  </si>
  <si>
    <t>Kita</t>
  </si>
  <si>
    <r>
      <t>Skalūnų alyva, p</t>
    </r>
    <r>
      <rPr>
        <vertAlign val="subscript"/>
        <sz val="8"/>
        <color theme="1"/>
        <rFont val="Times New Roman"/>
        <family val="1"/>
      </rPr>
      <t xml:space="preserve">HG,sk </t>
    </r>
  </si>
  <si>
    <t>Skal. alyva</t>
  </si>
  <si>
    <t>Kuro struktūra</t>
  </si>
  <si>
    <t>Kiekis</t>
  </si>
  <si>
    <t>t.ne.</t>
  </si>
  <si>
    <t>MWh</t>
  </si>
  <si>
    <t>Patvirtinta bazinė</t>
  </si>
  <si>
    <t>Faktinė 2016-01 mėn.</t>
  </si>
  <si>
    <t>Formulė</t>
  </si>
  <si>
    <t>Kuras iš viso</t>
  </si>
  <si>
    <t>-</t>
  </si>
  <si>
    <t>Perskaičiuota</t>
  </si>
  <si>
    <t>Žaliavos</t>
  </si>
  <si>
    <t>Transportavimas</t>
  </si>
  <si>
    <t>Laikotarpis</t>
  </si>
  <si>
    <t>regula.lt</t>
  </si>
  <si>
    <t>THG,KD= TH,KD=0,09 + ( 1653 x pHG,bio + 24345 x pHG,d + 422,4 x pHG,a + 190 x pHG,mal + 274,5 x pHG,pj + 9 x pHG,gr + 64,3 x pHG,sk)  / (44,84 x 10000)</t>
  </si>
  <si>
    <t>58.4.5. atsižvelgiant į atitinkamos kuro rūšies kainas:</t>
  </si>
  <si>
    <t xml:space="preserve">58.4.5.1. gamtinių dujų kaina lygi gamtinių dujų pirkimo, perdavimo ir skirstymo kainų sumai. </t>
  </si>
  <si>
    <t xml:space="preserve">Gamtinių dujų pirkimo kaina lygi paskutinio mėnesio, einančio prieš šilumos kainų (kainų dedamųjų) skaičiavimą, faktinei gamtinių dujų pirkimo kainai. </t>
  </si>
  <si>
    <t>Gamtinių dujų perdavimo ir skirstymo kaina apskaičiuojama pagal galiojančias dujų perdavimo ir skirstymo sutartis. Gamtinių dujų kainai netaikomas Metodikos 58.4.5.2 punkto ribojimas;</t>
  </si>
  <si>
    <t xml:space="preserve">58.4.5.2 nustatytas kaip 105 proc. vidutinės atitinkamos kuro rūšies (žaliavos) rinkos kainos šalyje paskutinį mėnesį, einantį prieš šilumos kainų (kainų dedamųjų) skaičiavimą. </t>
  </si>
  <si>
    <t>Vidutinė biokuro kaina ir vidutinė biokuro biržos kaina nustatoma vadovaujantis Komisijos patvirtintu Vidutinės biokuro kainos nustatymo tvarkos ir sąlygų aprašu.</t>
  </si>
  <si>
    <t>Kuro transportavimo ir kitos su kuro (išskyrus biokuro ir gamtinių dujų) įsigijimu susijusios sąnaudos nustatomos pagal faktinius duomenis;</t>
  </si>
  <si>
    <t>58.4.5.4. nustatyta kaip faktinė Ūkio subjekto biokuro atskiro sandorio kaina, jei Ūkio subjektas biokurą įsigijo Energijos išteklių biržoje. Tokiu atveju netaikomas Metodikos 58.4.5.2–58.4.5.3 punktų ribojimas biokuro įsigijimo kainai;</t>
  </si>
  <si>
    <t xml:space="preserve">58.4.5.21. nustatyta kaip 90 proc. vidutinės atitinkamos biokuro rūšies rinkos kainos ar kito kuro rūšies (žaliavos) rinkos kainos šalyje paskutinį mėnesį, einantį prieš šilumos kainų (kainų dedamųjų) skaičiavimą, </t>
  </si>
  <si>
    <t>jei Ūkio subjekto faktinė (apmokėta pagal sutartis) atitinkamo biokuro ar kito kuro ištekliaus (žaliavos) įsigijimo kaina yra 10 ar daugiau procentų mažesnė už atitinkamo laikotarpio vidutinę atitinkamos biokuro rūšies rinkos kainą ar kito kuro rūšies (žaliavos) rinkos kainą;</t>
  </si>
  <si>
    <t xml:space="preserve">58.4.5.3. jei kuro kainų nustatymo laikotarpiu atitinkamos rūšies kuro Ūkio subjektas nepirko, kuro kaina nustatoma vadovaujantis galiojančiomis kuro pirkimo sutartimis, įvertinant Metodikos 58.4.5.2 punkte nustatytą ribojimą. </t>
  </si>
  <si>
    <t>Jei Ūkio subjektas kuro pirkimo sutarčių nėra sudaręs, taikoma Komisijos skelbiama paskutinio mėnesio, einančio prieš šilumos kainų (kainų dedamųjų) skaičiavimą, vidutinė atitinkamos biokuro rūšies rinkos kaina ar kito kuro rūšies (žaliavos) rinkos kaina;</t>
  </si>
  <si>
    <t>58.4. kuro šilumai gaminti sąnaudų atveju:</t>
  </si>
  <si>
    <t>58. Sąnaudų apimtis nustatoma:</t>
  </si>
  <si>
    <t xml:space="preserve">Kito kuro vidutinė kaina (išskyrus gamtinių dujų) apskaičiuojama kaip geometrinis svertinis Ūkio subjektų pirkto atitinkamos rūšies (žaliavos) kuro kainų vidurkis. </t>
  </si>
  <si>
    <t>Taikoma kuro kaina</t>
  </si>
  <si>
    <t>Šilumos kainų nustatymo metodika</t>
  </si>
  <si>
    <t>http://www.regula.lt/siluma/Puslapiai/kuro-ir-perkamos-silumos-kainos/vidutine-salies-kuro-zaliavos-kaina.aspx</t>
  </si>
  <si>
    <t>Komentaras</t>
  </si>
  <si>
    <t>Įmonės sandorių kuro kaina</t>
  </si>
  <si>
    <t>Asta Aglinskienė</t>
  </si>
  <si>
    <t>Medienos kilmės biokuras (Skiedra)</t>
  </si>
  <si>
    <t>03 mėn</t>
  </si>
  <si>
    <t xml:space="preserve"> 2016-03-25</t>
  </si>
  <si>
    <t xml:space="preserve">Jei Ūkio subjekto atitinkamo mėnesio faktiškai pirkto biokuro kaina ar kito kuro (žaliavos) kaina yra žemesnė už 105 proc. atitinkamos biokuro rūšies rinkos kainos ar kito kuro rūšies (žaliavos) rinkos kainos, </t>
  </si>
  <si>
    <t xml:space="preserve"> galutinės šilumos kainos skaičiavimuose taikoma faktinė biokuro kaina ar kito kuro (žaliavos) kaina. </t>
  </si>
  <si>
    <t xml:space="preserve">Nustatant vidutinę atitinkamos kuro rūšies (žaliavos) rinkos kainą atmetamos atitinkamo laikotarpio ekstremalios vertės (atitinkamos kuro rūšies didžiausia ir mažiausia kaina atitinkamu laikotarpiu), </t>
  </si>
  <si>
    <t xml:space="preserve"> esant daugiau kaip 3 atitinkamos kuro rūšies (žaliavos) pirkimams per laikotarpį. </t>
  </si>
  <si>
    <t>Įsigyta 02 mėn.</t>
  </si>
  <si>
    <t>VKEKK</t>
  </si>
  <si>
    <t>VKEKK vidutinės vasario</t>
  </si>
  <si>
    <t>vidut 02mėn</t>
  </si>
  <si>
    <r>
      <t xml:space="preserve">                    ŠILUMOS KAINOS SKAIČIAVIMAS  2016 METŲ  </t>
    </r>
    <r>
      <rPr>
        <b/>
        <sz val="12"/>
        <color rgb="FFFF0000"/>
        <rFont val="Times New Roman"/>
        <family val="1"/>
        <charset val="186"/>
      </rPr>
      <t xml:space="preserve">BALANDŽIO </t>
    </r>
    <r>
      <rPr>
        <b/>
        <sz val="12"/>
        <rFont val="Times New Roman"/>
        <family val="1"/>
        <charset val="186"/>
      </rPr>
      <t xml:space="preserve"> MĖNESIUI </t>
    </r>
  </si>
  <si>
    <r>
      <t xml:space="preserve">                  KARŠTO VANDENS KAINOS SKAIČIAVIMAS  2016 METŲ </t>
    </r>
    <r>
      <rPr>
        <b/>
        <sz val="12"/>
        <color rgb="FFFF0000"/>
        <rFont val="Times New Roman"/>
        <family val="1"/>
        <charset val="186"/>
      </rPr>
      <t>BALANDŽIO</t>
    </r>
    <r>
      <rPr>
        <b/>
        <sz val="12"/>
        <color theme="1"/>
        <rFont val="Times New Roman"/>
        <family val="1"/>
        <charset val="186"/>
      </rPr>
      <t xml:space="preserve">  MĖNESIUI</t>
    </r>
  </si>
  <si>
    <t>Biokuro kaina  naudojama įsigijimo kaina nes perkm biržoje</t>
  </si>
  <si>
    <t>Pakeista žaliavos kaina raudonai pažymėta. Kadangi nedidelis proc ir nežymiai keitėsi įtskos kainai neturėjo</t>
  </si>
  <si>
    <t>Akm.anglis buvo-201,89 minus 9,61</t>
  </si>
  <si>
    <t>pjūv.-120,03 + 13,34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</si>
</sst>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
    <numFmt numFmtId="166" formatCode="0.0%"/>
    <numFmt numFmtId="167" formatCode="0.000000"/>
    <numFmt numFmtId="168" formatCode="#,##0.00;\-#,##0.00;\-"/>
    <numFmt numFmtId="169" formatCode="0.0%;\-0.0%;\-"/>
    <numFmt numFmtId="170" formatCode="#,##0.0"/>
    <numFmt numFmtId="171" formatCode="0.00%;\-0.00%;\-"/>
  </numFmts>
  <fonts count="123" x14ac:knownFonts="1">
    <font>
      <sz val="11"/>
      <color theme="1"/>
      <name val="Calibri"/>
      <family val="2"/>
      <charset val="186"/>
      <scheme val="minor"/>
    </font>
    <font>
      <sz val="8"/>
      <color indexed="8"/>
      <name val="Times New Roman"/>
      <family val="1"/>
      <charset val="186"/>
    </font>
    <font>
      <b/>
      <sz val="8"/>
      <color indexed="8"/>
      <name val="Times New Roman"/>
      <family val="1"/>
      <charset val="186"/>
    </font>
    <font>
      <b/>
      <sz val="9"/>
      <color indexed="8"/>
      <name val="Times New Roman"/>
      <family val="1"/>
      <charset val="186"/>
    </font>
    <font>
      <b/>
      <vertAlign val="subscript"/>
      <sz val="9"/>
      <color indexed="8"/>
      <name val="Times New Roman"/>
      <family val="1"/>
      <charset val="186"/>
    </font>
    <font>
      <sz val="11"/>
      <color indexed="8"/>
      <name val="Times New Roman"/>
      <family val="1"/>
      <charset val="186"/>
    </font>
    <font>
      <vertAlign val="subscript"/>
      <sz val="8"/>
      <color indexed="8"/>
      <name val="Calibri"/>
      <family val="2"/>
      <charset val="186"/>
    </font>
    <font>
      <vertAlign val="subscript"/>
      <sz val="11"/>
      <color indexed="8"/>
      <name val="Times New Roman"/>
      <family val="1"/>
      <charset val="186"/>
    </font>
    <font>
      <vertAlign val="subscript"/>
      <sz val="8"/>
      <color indexed="8"/>
      <name val="Times New Roman"/>
      <family val="1"/>
      <charset val="186"/>
    </font>
    <font>
      <sz val="11"/>
      <name val="Times New Roman"/>
      <family val="1"/>
      <charset val="186"/>
    </font>
    <font>
      <vertAlign val="subscript"/>
      <sz val="10"/>
      <color indexed="53"/>
      <name val="Times New Roman"/>
      <family val="1"/>
      <charset val="186"/>
    </font>
    <font>
      <vertAlign val="superscript"/>
      <sz val="8"/>
      <color indexed="53"/>
      <name val="Times New Roman"/>
      <family val="1"/>
      <charset val="186"/>
    </font>
    <font>
      <b/>
      <sz val="6"/>
      <color indexed="8"/>
      <name val="Times New Roman"/>
      <family val="1"/>
      <charset val="186"/>
    </font>
    <font>
      <b/>
      <sz val="10"/>
      <color indexed="8"/>
      <name val="Times New Roman"/>
      <family val="1"/>
      <charset val="186"/>
    </font>
    <font>
      <sz val="7"/>
      <color indexed="8"/>
      <name val="Times New Roman"/>
      <family val="1"/>
      <charset val="186"/>
    </font>
    <font>
      <vertAlign val="superscript"/>
      <sz val="8"/>
      <color indexed="8"/>
      <name val="Times New Roman"/>
      <family val="1"/>
      <charset val="186"/>
    </font>
    <font>
      <sz val="10"/>
      <color indexed="8"/>
      <name val="Times New Roman"/>
      <family val="1"/>
      <charset val="186"/>
    </font>
    <font>
      <vertAlign val="subscript"/>
      <sz val="10"/>
      <color indexed="8"/>
      <name val="Times New Roman"/>
      <family val="1"/>
      <charset val="186"/>
    </font>
    <font>
      <sz val="8"/>
      <color indexed="8"/>
      <name val="Arial"/>
      <family val="2"/>
      <charset val="186"/>
    </font>
    <font>
      <vertAlign val="superscript"/>
      <sz val="8"/>
      <color indexed="8"/>
      <name val="Arial"/>
      <family val="2"/>
      <charset val="186"/>
    </font>
    <font>
      <b/>
      <vertAlign val="superscript"/>
      <sz val="8"/>
      <color indexed="8"/>
      <name val="Arial"/>
      <family val="2"/>
      <charset val="186"/>
    </font>
    <font>
      <sz val="12"/>
      <color indexed="8"/>
      <name val="Times New Roman"/>
      <family val="1"/>
      <charset val="186"/>
    </font>
    <font>
      <vertAlign val="subscript"/>
      <sz val="12"/>
      <color indexed="8"/>
      <name val="Times New Roman"/>
      <family val="1"/>
      <charset val="186"/>
    </font>
    <font>
      <sz val="12"/>
      <color indexed="8"/>
      <name val="Times New Roman"/>
      <family val="1"/>
      <charset val="186"/>
    </font>
    <font>
      <b/>
      <sz val="12"/>
      <color indexed="8"/>
      <name val="Times New Roman"/>
      <family val="1"/>
      <charset val="186"/>
    </font>
    <font>
      <b/>
      <vertAlign val="subscript"/>
      <sz val="12"/>
      <color indexed="8"/>
      <name val="Times New Roman"/>
      <family val="1"/>
      <charset val="186"/>
    </font>
    <font>
      <b/>
      <sz val="12"/>
      <color indexed="8"/>
      <name val="Arial"/>
      <family val="2"/>
      <charset val="186"/>
    </font>
    <font>
      <b/>
      <i/>
      <sz val="10"/>
      <color indexed="8"/>
      <name val="Calibri"/>
      <family val="2"/>
      <charset val="186"/>
    </font>
    <font>
      <b/>
      <i/>
      <sz val="11"/>
      <color indexed="60"/>
      <name val="Calibri"/>
      <family val="2"/>
      <charset val="186"/>
    </font>
    <font>
      <sz val="9"/>
      <color indexed="8"/>
      <name val="Times New Roman"/>
      <family val="1"/>
      <charset val="186"/>
    </font>
    <font>
      <vertAlign val="superscript"/>
      <sz val="8"/>
      <color indexed="30"/>
      <name val="Times New Roman"/>
      <family val="1"/>
      <charset val="186"/>
    </font>
    <font>
      <sz val="6"/>
      <color indexed="8"/>
      <name val="Times New Roman"/>
      <family val="1"/>
      <charset val="186"/>
    </font>
    <font>
      <b/>
      <sz val="7"/>
      <color indexed="8"/>
      <name val="Times New Roman"/>
      <family val="1"/>
      <charset val="186"/>
    </font>
    <font>
      <sz val="8"/>
      <name val="Times New Roman"/>
      <family val="1"/>
      <charset val="186"/>
    </font>
    <font>
      <vertAlign val="superscript"/>
      <sz val="8"/>
      <name val="Times New Roman"/>
      <family val="1"/>
      <charset val="186"/>
    </font>
    <font>
      <b/>
      <sz val="8"/>
      <name val="Times New Roman"/>
      <family val="1"/>
      <charset val="186"/>
    </font>
    <font>
      <sz val="8"/>
      <color indexed="8"/>
      <name val="Times New Roman"/>
      <family val="1"/>
    </font>
    <font>
      <sz val="8"/>
      <color indexed="8"/>
      <name val="Times New Roman"/>
      <family val="1"/>
    </font>
    <font>
      <sz val="11"/>
      <color indexed="8"/>
      <name val="Times New Roman"/>
      <family val="1"/>
    </font>
    <font>
      <vertAlign val="subscript"/>
      <sz val="11"/>
      <color indexed="8"/>
      <name val="Times New Roman"/>
      <family val="1"/>
    </font>
    <font>
      <b/>
      <sz val="10"/>
      <color indexed="8"/>
      <name val="Times New Roman"/>
      <family val="1"/>
    </font>
    <font>
      <vertAlign val="superscript"/>
      <sz val="11"/>
      <color indexed="8"/>
      <name val="Times New Roman"/>
      <family val="1"/>
    </font>
    <font>
      <sz val="8"/>
      <name val="Times New Roman"/>
      <family val="1"/>
    </font>
    <font>
      <sz val="10"/>
      <name val="Times New Roman"/>
      <family val="1"/>
    </font>
    <font>
      <sz val="9"/>
      <color indexed="8"/>
      <name val="Times New Roman"/>
      <family val="1"/>
    </font>
    <font>
      <sz val="10"/>
      <name val="Times New Roman"/>
      <family val="1"/>
      <charset val="186"/>
    </font>
    <font>
      <vertAlign val="subscript"/>
      <sz val="10"/>
      <name val="Times New Roman"/>
      <family val="1"/>
      <charset val="186"/>
    </font>
    <font>
      <vertAlign val="superscript"/>
      <sz val="11"/>
      <color indexed="8"/>
      <name val="Times New Roman"/>
      <family val="1"/>
      <charset val="186"/>
    </font>
    <font>
      <b/>
      <sz val="10"/>
      <name val="Times New Roman"/>
      <family val="1"/>
      <charset val="186"/>
    </font>
    <font>
      <vertAlign val="subscript"/>
      <sz val="9"/>
      <color indexed="8"/>
      <name val="Times New Roman"/>
      <family val="1"/>
      <charset val="186"/>
    </font>
    <font>
      <b/>
      <i/>
      <sz val="10"/>
      <name val="Calibri"/>
      <family val="2"/>
      <charset val="186"/>
    </font>
    <font>
      <u/>
      <sz val="11"/>
      <color theme="10"/>
      <name val="Calibri"/>
      <family val="2"/>
      <charset val="186"/>
    </font>
    <font>
      <b/>
      <sz val="11"/>
      <color theme="1"/>
      <name val="Calibri"/>
      <family val="2"/>
      <charset val="186"/>
      <scheme val="minor"/>
    </font>
    <font>
      <sz val="8"/>
      <color theme="1"/>
      <name val="Times New Roman"/>
      <family val="1"/>
      <charset val="186"/>
    </font>
    <font>
      <b/>
      <sz val="8"/>
      <color theme="1"/>
      <name val="Times New Roman"/>
      <family val="1"/>
      <charset val="186"/>
    </font>
    <font>
      <sz val="6"/>
      <color theme="1"/>
      <name val="Times New Roman"/>
      <family val="1"/>
      <charset val="186"/>
    </font>
    <font>
      <sz val="10"/>
      <color theme="9" tint="-0.249977111117893"/>
      <name val="Times New Roman"/>
      <family val="1"/>
      <charset val="186"/>
    </font>
    <font>
      <sz val="8"/>
      <color theme="9" tint="-0.249977111117893"/>
      <name val="Times New Roman"/>
      <family val="1"/>
      <charset val="186"/>
    </font>
    <font>
      <sz val="7"/>
      <color theme="1"/>
      <name val="Times New Roman"/>
      <family val="1"/>
      <charset val="186"/>
    </font>
    <font>
      <sz val="8"/>
      <color rgb="FF000000"/>
      <name val="Times New Roman"/>
      <family val="1"/>
      <charset val="186"/>
    </font>
    <font>
      <sz val="10"/>
      <color rgb="FF000000"/>
      <name val="Times New Roman"/>
      <family val="1"/>
      <charset val="186"/>
    </font>
    <font>
      <sz val="7"/>
      <color rgb="FF000000"/>
      <name val="Times New Roman"/>
      <family val="1"/>
      <charset val="186"/>
    </font>
    <font>
      <b/>
      <sz val="10"/>
      <color rgb="FF000000"/>
      <name val="Times New Roman"/>
      <family val="1"/>
      <charset val="186"/>
    </font>
    <font>
      <sz val="8"/>
      <color rgb="FF000000"/>
      <name val="Arial"/>
      <family val="2"/>
      <charset val="186"/>
    </font>
    <font>
      <b/>
      <sz val="10"/>
      <color rgb="FF000000"/>
      <name val="Arial"/>
      <family val="2"/>
      <charset val="186"/>
    </font>
    <font>
      <b/>
      <sz val="8"/>
      <color rgb="FF000000"/>
      <name val="Arial"/>
      <family val="2"/>
      <charset val="186"/>
    </font>
    <font>
      <i/>
      <sz val="8"/>
      <color rgb="FF000000"/>
      <name val="Arial"/>
      <family val="2"/>
      <charset val="186"/>
    </font>
    <font>
      <sz val="10"/>
      <color rgb="FF000000"/>
      <name val="Arial"/>
      <family val="2"/>
      <charset val="186"/>
    </font>
    <font>
      <sz val="12"/>
      <color theme="1"/>
      <name val="Times New Roman"/>
      <family val="1"/>
      <charset val="186"/>
    </font>
    <font>
      <sz val="10"/>
      <color theme="1"/>
      <name val="Times New Roman"/>
      <family val="1"/>
      <charset val="186"/>
    </font>
    <font>
      <b/>
      <sz val="12"/>
      <color theme="1"/>
      <name val="Times New Roman"/>
      <family val="1"/>
      <charset val="186"/>
    </font>
    <font>
      <b/>
      <sz val="10"/>
      <color theme="1"/>
      <name val="Times New Roman"/>
      <family val="1"/>
      <charset val="186"/>
    </font>
    <font>
      <b/>
      <sz val="10"/>
      <color theme="1"/>
      <name val="Calibri"/>
      <family val="2"/>
      <charset val="186"/>
      <scheme val="minor"/>
    </font>
    <font>
      <sz val="8"/>
      <color theme="1"/>
      <name val="Calibri"/>
      <family val="2"/>
      <charset val="186"/>
      <scheme val="minor"/>
    </font>
    <font>
      <b/>
      <i/>
      <sz val="12"/>
      <color rgb="FF000000"/>
      <name val="Arial"/>
      <family val="2"/>
      <charset val="186"/>
    </font>
    <font>
      <b/>
      <sz val="12"/>
      <color rgb="FF000000"/>
      <name val="Arial"/>
      <family val="2"/>
      <charset val="186"/>
    </font>
    <font>
      <sz val="11"/>
      <color rgb="FF000000"/>
      <name val="Arial"/>
      <family val="2"/>
      <charset val="186"/>
    </font>
    <font>
      <i/>
      <sz val="10"/>
      <color rgb="FF000000"/>
      <name val="Arial"/>
      <family val="2"/>
      <charset val="186"/>
    </font>
    <font>
      <b/>
      <sz val="8"/>
      <color rgb="FF0070C0"/>
      <name val="Times New Roman"/>
      <family val="1"/>
      <charset val="186"/>
    </font>
    <font>
      <sz val="10"/>
      <color theme="1"/>
      <name val="Calibri"/>
      <family val="2"/>
      <charset val="186"/>
      <scheme val="minor"/>
    </font>
    <font>
      <sz val="9"/>
      <color theme="1"/>
      <name val="Calibri"/>
      <family val="2"/>
      <charset val="186"/>
      <scheme val="minor"/>
    </font>
    <font>
      <b/>
      <i/>
      <sz val="11"/>
      <color rgb="FF0070C0"/>
      <name val="Calibri"/>
      <family val="2"/>
      <charset val="186"/>
      <scheme val="minor"/>
    </font>
    <font>
      <sz val="8"/>
      <color rgb="FF0070C0"/>
      <name val="Times New Roman"/>
      <family val="1"/>
      <charset val="186"/>
    </font>
    <font>
      <sz val="8"/>
      <color rgb="FF0070C0"/>
      <name val="Calibri"/>
      <family val="2"/>
      <charset val="186"/>
      <scheme val="minor"/>
    </font>
    <font>
      <b/>
      <sz val="8"/>
      <color rgb="FF0070C0"/>
      <name val="Calibri"/>
      <family val="2"/>
      <charset val="186"/>
      <scheme val="minor"/>
    </font>
    <font>
      <b/>
      <sz val="11"/>
      <color rgb="FF0070C0"/>
      <name val="Calibri"/>
      <family val="2"/>
      <charset val="186"/>
      <scheme val="minor"/>
    </font>
    <font>
      <sz val="11"/>
      <color rgb="FF0070C0"/>
      <name val="Calibri"/>
      <family val="2"/>
      <charset val="186"/>
      <scheme val="minor"/>
    </font>
    <font>
      <sz val="10"/>
      <color rgb="FF000000"/>
      <name val="Calibri"/>
      <family val="2"/>
      <charset val="186"/>
    </font>
    <font>
      <sz val="11"/>
      <color theme="1"/>
      <name val="Times New Roman"/>
      <family val="1"/>
    </font>
    <font>
      <sz val="8"/>
      <color theme="1"/>
      <name val="Times New Roman"/>
      <family val="1"/>
    </font>
    <font>
      <sz val="9"/>
      <color theme="1"/>
      <name val="Times New Roman"/>
      <family val="1"/>
    </font>
    <font>
      <u/>
      <sz val="9"/>
      <color theme="10"/>
      <name val="Times New Roman"/>
      <family val="1"/>
    </font>
    <font>
      <b/>
      <sz val="8"/>
      <color theme="1"/>
      <name val="Times New Roman"/>
      <family val="1"/>
    </font>
    <font>
      <sz val="10"/>
      <color theme="1"/>
      <name val="Times New Roman"/>
      <family val="1"/>
    </font>
    <font>
      <b/>
      <sz val="11"/>
      <color theme="1"/>
      <name val="Times New Roman"/>
      <family val="1"/>
      <charset val="186"/>
    </font>
    <font>
      <u/>
      <sz val="8"/>
      <color theme="10"/>
      <name val="Times New Roman"/>
      <family val="1"/>
    </font>
    <font>
      <sz val="8"/>
      <color rgb="FF000000"/>
      <name val="Times New Roman"/>
      <family val="1"/>
    </font>
    <font>
      <sz val="11"/>
      <color rgb="FF000000"/>
      <name val="Times New Roman"/>
      <family val="1"/>
    </font>
    <font>
      <b/>
      <sz val="11"/>
      <color theme="1"/>
      <name val="Times New Roman"/>
      <family val="1"/>
    </font>
    <font>
      <sz val="8"/>
      <color rgb="FF0070C0"/>
      <name val="Times New Roman"/>
      <family val="1"/>
    </font>
    <font>
      <sz val="6"/>
      <color theme="1"/>
      <name val="Times New Roman"/>
      <family val="1"/>
    </font>
    <font>
      <b/>
      <sz val="10"/>
      <color theme="1"/>
      <name val="Times New Roman"/>
      <family val="1"/>
    </font>
    <font>
      <b/>
      <sz val="8"/>
      <color rgb="FF0070C0"/>
      <name val="Times New Roman"/>
      <family val="1"/>
    </font>
    <font>
      <b/>
      <sz val="11"/>
      <color rgb="FF0070C0"/>
      <name val="Times New Roman"/>
      <family val="1"/>
    </font>
    <font>
      <sz val="11"/>
      <color rgb="FF0070C0"/>
      <name val="Times New Roman"/>
      <family val="1"/>
    </font>
    <font>
      <sz val="9"/>
      <color rgb="FF0070C0"/>
      <name val="Times New Roman"/>
      <family val="1"/>
    </font>
    <font>
      <sz val="7"/>
      <color theme="1"/>
      <name val="Calibri"/>
      <family val="2"/>
      <charset val="186"/>
      <scheme val="minor"/>
    </font>
    <font>
      <sz val="11"/>
      <color rgb="FF000000"/>
      <name val="Times New Roman"/>
      <family val="1"/>
      <charset val="186"/>
    </font>
    <font>
      <b/>
      <sz val="9"/>
      <color theme="1"/>
      <name val="Times New Roman"/>
      <family val="1"/>
    </font>
    <font>
      <sz val="11"/>
      <color theme="1"/>
      <name val="Times New Roman"/>
      <family val="1"/>
      <charset val="186"/>
    </font>
    <font>
      <b/>
      <i/>
      <sz val="10"/>
      <name val="Calibri"/>
      <family val="2"/>
      <charset val="186"/>
      <scheme val="minor"/>
    </font>
    <font>
      <sz val="11"/>
      <color theme="1"/>
      <name val="Calibri"/>
      <family val="2"/>
      <charset val="186"/>
      <scheme val="minor"/>
    </font>
    <font>
      <vertAlign val="subscript"/>
      <sz val="8"/>
      <color theme="1"/>
      <name val="Times New Roman"/>
      <family val="1"/>
    </font>
    <font>
      <sz val="9"/>
      <color indexed="81"/>
      <name val="Tahoma"/>
      <family val="2"/>
    </font>
    <font>
      <sz val="9"/>
      <color theme="1"/>
      <name val="Arial"/>
      <family val="2"/>
    </font>
    <font>
      <sz val="9"/>
      <color rgb="FF000000"/>
      <name val="Arial"/>
      <family val="2"/>
    </font>
    <font>
      <sz val="10"/>
      <color theme="1"/>
      <name val="Arial"/>
      <family val="2"/>
    </font>
    <font>
      <b/>
      <sz val="10"/>
      <color theme="1"/>
      <name val="Arial"/>
      <family val="2"/>
    </font>
    <font>
      <i/>
      <sz val="9"/>
      <color theme="1"/>
      <name val="Arial"/>
      <family val="2"/>
    </font>
    <font>
      <b/>
      <sz val="12"/>
      <color rgb="FFFF0000"/>
      <name val="Times New Roman"/>
      <family val="1"/>
      <charset val="186"/>
    </font>
    <font>
      <b/>
      <sz val="12"/>
      <name val="Times New Roman"/>
      <family val="1"/>
      <charset val="186"/>
    </font>
    <font>
      <sz val="10"/>
      <color rgb="FFFF0000"/>
      <name val="Arial"/>
      <family val="2"/>
    </font>
    <font>
      <sz val="9"/>
      <color rgb="FFFF0000"/>
      <name val="Arial"/>
      <family val="2"/>
    </font>
  </fonts>
  <fills count="1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E4DFEC"/>
        <bgColor rgb="FFE4DFEC"/>
      </patternFill>
    </fill>
    <fill>
      <patternFill patternType="solid">
        <fgColor rgb="FFF2DCDB"/>
        <bgColor rgb="FFF2DCDB"/>
      </patternFill>
    </fill>
    <fill>
      <patternFill patternType="solid">
        <fgColor rgb="FFDAEEF3"/>
        <bgColor rgb="FFDAEEF3"/>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0000"/>
        <bgColor indexed="64"/>
      </patternFill>
    </fill>
  </fills>
  <borders count="7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indexed="64"/>
      </bottom>
      <diagonal/>
    </border>
    <border>
      <left style="thin">
        <color rgb="FF000000"/>
      </left>
      <right style="thin">
        <color rgb="FF000000"/>
      </right>
      <top/>
      <bottom style="thin">
        <color rgb="FF000000"/>
      </bottom>
      <diagonal/>
    </border>
  </borders>
  <cellStyleXfs count="4">
    <xf numFmtId="0" fontId="0" fillId="0" borderId="0"/>
    <xf numFmtId="0" fontId="51" fillId="0" borderId="0" applyNumberFormat="0" applyFill="0" applyBorder="0" applyAlignment="0" applyProtection="0">
      <alignment vertical="top"/>
      <protection locked="0"/>
    </xf>
    <xf numFmtId="0" fontId="9" fillId="0" borderId="0"/>
    <xf numFmtId="9" fontId="111" fillId="0" borderId="0" applyFont="0" applyFill="0" applyBorder="0" applyAlignment="0" applyProtection="0"/>
  </cellStyleXfs>
  <cellXfs count="925">
    <xf numFmtId="0" fontId="0" fillId="0" borderId="0" xfId="0"/>
    <xf numFmtId="0" fontId="53" fillId="0" borderId="0" xfId="0" applyFont="1"/>
    <xf numFmtId="0" fontId="54" fillId="0" borderId="0" xfId="0" applyFont="1"/>
    <xf numFmtId="0" fontId="55" fillId="0" borderId="0" xfId="0" applyFont="1"/>
    <xf numFmtId="2" fontId="56" fillId="0" borderId="1" xfId="2" applyNumberFormat="1" applyFont="1" applyFill="1" applyBorder="1" applyAlignment="1">
      <alignment horizontal="center"/>
    </xf>
    <xf numFmtId="2" fontId="57" fillId="0" borderId="1" xfId="2" applyNumberFormat="1" applyFont="1" applyFill="1" applyBorder="1" applyAlignment="1">
      <alignment horizontal="center"/>
    </xf>
    <xf numFmtId="0" fontId="53" fillId="2" borderId="0" xfId="0" applyFont="1" applyFill="1"/>
    <xf numFmtId="0" fontId="0" fillId="2" borderId="0" xfId="0" applyFill="1"/>
    <xf numFmtId="0" fontId="52" fillId="0" borderId="0" xfId="0" applyFont="1"/>
    <xf numFmtId="0" fontId="2" fillId="0" borderId="2" xfId="0" applyFont="1" applyBorder="1" applyAlignment="1">
      <alignment horizontal="center"/>
    </xf>
    <xf numFmtId="0" fontId="12" fillId="0" borderId="2" xfId="0" applyFont="1" applyBorder="1" applyAlignment="1">
      <alignment horizontal="center"/>
    </xf>
    <xf numFmtId="0" fontId="1" fillId="0" borderId="2" xfId="0" applyFont="1" applyBorder="1" applyAlignment="1">
      <alignment horizontal="center"/>
    </xf>
    <xf numFmtId="0" fontId="2" fillId="0" borderId="3" xfId="0" applyFont="1" applyBorder="1" applyAlignment="1">
      <alignment horizontal="center"/>
    </xf>
    <xf numFmtId="0" fontId="1" fillId="0" borderId="3" xfId="0" applyFont="1" applyBorder="1" applyAlignment="1">
      <alignment horizontal="center"/>
    </xf>
    <xf numFmtId="0" fontId="14" fillId="0" borderId="2" xfId="0" applyFont="1" applyBorder="1" applyAlignment="1">
      <alignment horizontal="left" indent="1"/>
    </xf>
    <xf numFmtId="0" fontId="14" fillId="0" borderId="2" xfId="0" applyFont="1" applyBorder="1" applyAlignment="1">
      <alignment horizontal="left" vertical="center" indent="1"/>
    </xf>
    <xf numFmtId="0" fontId="2" fillId="0" borderId="2" xfId="0" applyFont="1" applyBorder="1" applyAlignment="1">
      <alignment horizontal="left" indent="1"/>
    </xf>
    <xf numFmtId="0" fontId="2" fillId="0" borderId="2" xfId="0" applyFont="1" applyBorder="1" applyAlignment="1">
      <alignment horizontal="left" indent="2"/>
    </xf>
    <xf numFmtId="0" fontId="1" fillId="0" borderId="2" xfId="0" applyFont="1" applyBorder="1" applyAlignment="1">
      <alignment horizontal="left" indent="1"/>
    </xf>
    <xf numFmtId="0" fontId="1" fillId="0" borderId="4" xfId="0" applyFont="1" applyBorder="1" applyAlignment="1">
      <alignment horizontal="left" indent="1"/>
    </xf>
    <xf numFmtId="0" fontId="53" fillId="0" borderId="0" xfId="0" applyFont="1" applyBorder="1"/>
    <xf numFmtId="0" fontId="53" fillId="0" borderId="5" xfId="0" applyFont="1" applyBorder="1" applyAlignment="1">
      <alignment horizontal="center"/>
    </xf>
    <xf numFmtId="0" fontId="2" fillId="0" borderId="6" xfId="0" applyFont="1" applyFill="1" applyBorder="1" applyAlignment="1">
      <alignment horizontal="center"/>
    </xf>
    <xf numFmtId="0" fontId="1" fillId="0" borderId="7" xfId="0" applyFont="1" applyFill="1" applyBorder="1" applyAlignment="1">
      <alignment horizontal="left" indent="1"/>
    </xf>
    <xf numFmtId="0" fontId="53" fillId="0" borderId="2" xfId="0" applyFont="1" applyBorder="1"/>
    <xf numFmtId="0" fontId="53" fillId="0" borderId="2" xfId="0" applyFont="1" applyBorder="1" applyAlignment="1">
      <alignment horizontal="center"/>
    </xf>
    <xf numFmtId="0" fontId="54" fillId="0" borderId="8" xfId="0" applyFont="1" applyBorder="1"/>
    <xf numFmtId="0" fontId="1" fillId="0" borderId="2" xfId="0" applyFont="1" applyBorder="1" applyAlignment="1">
      <alignment horizontal="center" vertical="center"/>
    </xf>
    <xf numFmtId="0" fontId="5" fillId="0" borderId="9" xfId="0" applyNumberFormat="1" applyFont="1" applyFill="1" applyBorder="1" applyAlignment="1" applyProtection="1">
      <alignment horizontal="center" vertical="center" wrapText="1"/>
      <protection locked="0"/>
    </xf>
    <xf numFmtId="0" fontId="53" fillId="0" borderId="10" xfId="0" applyFont="1" applyBorder="1" applyAlignment="1">
      <alignment horizontal="center"/>
    </xf>
    <xf numFmtId="0" fontId="58" fillId="0" borderId="8" xfId="0" applyFont="1" applyBorder="1"/>
    <xf numFmtId="0" fontId="55" fillId="0" borderId="8" xfId="0" applyFont="1" applyBorder="1"/>
    <xf numFmtId="2" fontId="57" fillId="0" borderId="11" xfId="2" applyNumberFormat="1" applyFont="1" applyFill="1" applyBorder="1" applyAlignment="1">
      <alignment horizontal="center"/>
    </xf>
    <xf numFmtId="0" fontId="53" fillId="0" borderId="8" xfId="0" applyFont="1" applyBorder="1"/>
    <xf numFmtId="0" fontId="54" fillId="0" borderId="2" xfId="0" applyFont="1" applyBorder="1" applyAlignment="1">
      <alignment horizontal="center"/>
    </xf>
    <xf numFmtId="0" fontId="53" fillId="0" borderId="2" xfId="0" applyFont="1" applyBorder="1" applyAlignment="1">
      <alignment horizontal="center" vertical="center"/>
    </xf>
    <xf numFmtId="0" fontId="53" fillId="3" borderId="2" xfId="0" applyFont="1" applyFill="1" applyBorder="1" applyAlignment="1">
      <alignment horizontal="center"/>
    </xf>
    <xf numFmtId="0" fontId="53" fillId="4" borderId="2" xfId="0" applyFont="1" applyFill="1" applyBorder="1" applyAlignment="1">
      <alignment horizontal="center"/>
    </xf>
    <xf numFmtId="0" fontId="53" fillId="0" borderId="4" xfId="0" applyFont="1" applyBorder="1"/>
    <xf numFmtId="2" fontId="57" fillId="0" borderId="12" xfId="2" applyNumberFormat="1" applyFont="1" applyFill="1" applyBorder="1" applyAlignment="1">
      <alignment horizontal="center"/>
    </xf>
    <xf numFmtId="2" fontId="56" fillId="0" borderId="11" xfId="2" applyNumberFormat="1" applyFont="1" applyFill="1" applyBorder="1" applyAlignment="1">
      <alignment horizontal="center"/>
    </xf>
    <xf numFmtId="0" fontId="53" fillId="3" borderId="10" xfId="0" applyFont="1" applyFill="1" applyBorder="1" applyAlignment="1">
      <alignment horizontal="center"/>
    </xf>
    <xf numFmtId="0" fontId="53" fillId="3" borderId="8" xfId="0" applyFont="1" applyFill="1" applyBorder="1"/>
    <xf numFmtId="2" fontId="56" fillId="0" borderId="12" xfId="2" applyNumberFormat="1" applyFont="1" applyFill="1" applyBorder="1" applyAlignment="1">
      <alignment horizontal="center"/>
    </xf>
    <xf numFmtId="0" fontId="53" fillId="0" borderId="13" xfId="0" applyFont="1" applyBorder="1"/>
    <xf numFmtId="0" fontId="53" fillId="4" borderId="10" xfId="0" applyFont="1" applyFill="1" applyBorder="1" applyAlignment="1">
      <alignment horizontal="center"/>
    </xf>
    <xf numFmtId="0" fontId="53" fillId="4" borderId="8" xfId="0" applyFont="1" applyFill="1" applyBorder="1"/>
    <xf numFmtId="0" fontId="53" fillId="5" borderId="2" xfId="0" applyFont="1" applyFill="1" applyBorder="1" applyAlignment="1">
      <alignment horizontal="center"/>
    </xf>
    <xf numFmtId="0" fontId="53" fillId="5" borderId="8" xfId="0" applyFont="1" applyFill="1" applyBorder="1" applyAlignment="1">
      <alignment horizontal="center"/>
    </xf>
    <xf numFmtId="0" fontId="53" fillId="5" borderId="8" xfId="0" applyFont="1" applyFill="1" applyBorder="1"/>
    <xf numFmtId="0" fontId="53" fillId="2" borderId="2" xfId="0" applyFont="1" applyFill="1" applyBorder="1"/>
    <xf numFmtId="0" fontId="53" fillId="2" borderId="10" xfId="0" applyFont="1" applyFill="1" applyBorder="1" applyAlignment="1">
      <alignment horizontal="center"/>
    </xf>
    <xf numFmtId="0" fontId="53" fillId="2" borderId="8" xfId="0" applyFont="1" applyFill="1" applyBorder="1"/>
    <xf numFmtId="0" fontId="1" fillId="0" borderId="4" xfId="0" applyFont="1" applyBorder="1" applyAlignment="1">
      <alignment horizontal="center"/>
    </xf>
    <xf numFmtId="0" fontId="5" fillId="0" borderId="14" xfId="0" applyNumberFormat="1" applyFont="1" applyFill="1" applyBorder="1" applyAlignment="1" applyProtection="1">
      <alignment horizontal="center" vertical="center" wrapText="1"/>
      <protection locked="0"/>
    </xf>
    <xf numFmtId="0" fontId="53" fillId="0" borderId="10" xfId="0" applyFont="1" applyBorder="1"/>
    <xf numFmtId="2" fontId="3" fillId="0" borderId="2" xfId="0" applyNumberFormat="1" applyFont="1" applyFill="1" applyBorder="1" applyAlignment="1">
      <alignment horizontal="center"/>
    </xf>
    <xf numFmtId="0" fontId="59" fillId="0" borderId="45" xfId="0" applyFont="1" applyBorder="1" applyAlignment="1">
      <alignment horizontal="center"/>
    </xf>
    <xf numFmtId="0" fontId="60" fillId="0" borderId="45" xfId="0" applyFont="1" applyBorder="1"/>
    <xf numFmtId="0" fontId="59" fillId="0" borderId="45" xfId="0" applyFont="1" applyBorder="1"/>
    <xf numFmtId="0" fontId="59" fillId="0" borderId="2" xfId="0" applyFont="1" applyBorder="1"/>
    <xf numFmtId="0" fontId="59" fillId="0" borderId="46" xfId="0" applyFont="1" applyBorder="1" applyAlignment="1">
      <alignment horizontal="center"/>
    </xf>
    <xf numFmtId="0" fontId="0" fillId="0" borderId="2" xfId="0" applyBorder="1"/>
    <xf numFmtId="0" fontId="59" fillId="0" borderId="47" xfId="0" applyFont="1" applyBorder="1" applyAlignment="1">
      <alignment horizontal="center"/>
    </xf>
    <xf numFmtId="0" fontId="59" fillId="0" borderId="48" xfId="0" applyFont="1" applyBorder="1" applyAlignment="1">
      <alignment horizontal="center"/>
    </xf>
    <xf numFmtId="0" fontId="60" fillId="0" borderId="2" xfId="0" applyFont="1" applyBorder="1"/>
    <xf numFmtId="0" fontId="53" fillId="0" borderId="0" xfId="0" applyFont="1" applyFill="1" applyBorder="1" applyAlignment="1">
      <alignment horizontal="center"/>
    </xf>
    <xf numFmtId="0" fontId="53" fillId="0" borderId="2" xfId="0" applyFont="1" applyFill="1" applyBorder="1" applyAlignment="1">
      <alignment horizontal="center"/>
    </xf>
    <xf numFmtId="0" fontId="61" fillId="0" borderId="49" xfId="0" applyFont="1" applyBorder="1" applyAlignment="1">
      <alignment horizontal="center"/>
    </xf>
    <xf numFmtId="0" fontId="61" fillId="0" borderId="50" xfId="0" applyFont="1" applyBorder="1" applyAlignment="1">
      <alignment horizontal="center"/>
    </xf>
    <xf numFmtId="0" fontId="60" fillId="0" borderId="46" xfId="0" applyFont="1" applyBorder="1"/>
    <xf numFmtId="0" fontId="61" fillId="0" borderId="45" xfId="0" applyFont="1" applyBorder="1"/>
    <xf numFmtId="0" fontId="62" fillId="0" borderId="0" xfId="0" applyFont="1" applyBorder="1"/>
    <xf numFmtId="0" fontId="62" fillId="0" borderId="45" xfId="0" applyFont="1" applyBorder="1"/>
    <xf numFmtId="0" fontId="61" fillId="0" borderId="51" xfId="0" applyFont="1" applyBorder="1" applyAlignment="1">
      <alignment horizontal="center"/>
    </xf>
    <xf numFmtId="0" fontId="61" fillId="0" borderId="2" xfId="0" applyFont="1" applyFill="1" applyBorder="1" applyAlignment="1">
      <alignment horizontal="center"/>
    </xf>
    <xf numFmtId="0" fontId="61" fillId="0" borderId="2" xfId="0" applyFont="1" applyBorder="1" applyAlignment="1">
      <alignment horizontal="center"/>
    </xf>
    <xf numFmtId="0" fontId="0" fillId="0" borderId="51" xfId="0" applyBorder="1"/>
    <xf numFmtId="0" fontId="0" fillId="0" borderId="46" xfId="0" applyBorder="1"/>
    <xf numFmtId="0" fontId="63" fillId="0" borderId="52" xfId="0" applyFont="1" applyBorder="1" applyAlignment="1">
      <alignment horizontal="center"/>
    </xf>
    <xf numFmtId="0" fontId="64" fillId="0" borderId="49" xfId="0" applyFont="1" applyBorder="1"/>
    <xf numFmtId="0" fontId="0" fillId="0" borderId="45" xfId="0" applyBorder="1"/>
    <xf numFmtId="0" fontId="65" fillId="0" borderId="53" xfId="0" applyFont="1" applyBorder="1" applyAlignment="1">
      <alignment horizontal="center"/>
    </xf>
    <xf numFmtId="2" fontId="65" fillId="0" borderId="54" xfId="0" applyNumberFormat="1" applyFont="1" applyBorder="1" applyAlignment="1">
      <alignment horizontal="center"/>
    </xf>
    <xf numFmtId="0" fontId="66" fillId="0" borderId="49" xfId="0" applyFont="1" applyBorder="1"/>
    <xf numFmtId="0" fontId="63" fillId="0" borderId="53" xfId="0" applyFont="1" applyBorder="1" applyAlignment="1">
      <alignment horizontal="center"/>
    </xf>
    <xf numFmtId="164" fontId="63" fillId="0" borderId="54" xfId="0" applyNumberFormat="1" applyFont="1" applyBorder="1" applyAlignment="1">
      <alignment horizontal="right"/>
    </xf>
    <xf numFmtId="0" fontId="63" fillId="0" borderId="49" xfId="0" applyFont="1" applyBorder="1"/>
    <xf numFmtId="1" fontId="63" fillId="0" borderId="54" xfId="0" applyNumberFormat="1" applyFont="1" applyBorder="1" applyAlignment="1">
      <alignment horizontal="right"/>
    </xf>
    <xf numFmtId="0" fontId="65" fillId="6" borderId="49" xfId="0" applyFont="1" applyFill="1" applyBorder="1"/>
    <xf numFmtId="0" fontId="0" fillId="6" borderId="45" xfId="0" applyFill="1" applyBorder="1"/>
    <xf numFmtId="0" fontId="65" fillId="6" borderId="53" xfId="0" applyFont="1" applyFill="1" applyBorder="1" applyAlignment="1">
      <alignment horizontal="center"/>
    </xf>
    <xf numFmtId="2" fontId="64" fillId="6" borderId="54" xfId="0" applyNumberFormat="1" applyFont="1" applyFill="1" applyBorder="1" applyAlignment="1">
      <alignment horizontal="center"/>
    </xf>
    <xf numFmtId="0" fontId="65" fillId="0" borderId="45" xfId="0" applyFont="1" applyBorder="1"/>
    <xf numFmtId="2" fontId="63" fillId="0" borderId="54" xfId="0" applyNumberFormat="1" applyFont="1" applyBorder="1" applyAlignment="1">
      <alignment horizontal="center"/>
    </xf>
    <xf numFmtId="0" fontId="63" fillId="0" borderId="51" xfId="0" applyFont="1" applyBorder="1"/>
    <xf numFmtId="0" fontId="65" fillId="0" borderId="46" xfId="0" applyFont="1" applyBorder="1"/>
    <xf numFmtId="0" fontId="63" fillId="0" borderId="46" xfId="0" applyFont="1" applyBorder="1"/>
    <xf numFmtId="2" fontId="63" fillId="0" borderId="55" xfId="0" applyNumberFormat="1" applyFont="1" applyBorder="1" applyAlignment="1">
      <alignment horizontal="center"/>
    </xf>
    <xf numFmtId="0" fontId="63" fillId="0" borderId="45" xfId="0" applyFont="1" applyBorder="1"/>
    <xf numFmtId="2" fontId="63" fillId="0" borderId="53" xfId="0" applyNumberFormat="1" applyFont="1" applyBorder="1"/>
    <xf numFmtId="164" fontId="63" fillId="0" borderId="53" xfId="0" applyNumberFormat="1" applyFont="1" applyBorder="1"/>
    <xf numFmtId="0" fontId="66" fillId="0" borderId="45" xfId="0" applyFont="1" applyBorder="1"/>
    <xf numFmtId="1" fontId="63" fillId="0" borderId="53" xfId="0" applyNumberFormat="1" applyFont="1" applyBorder="1"/>
    <xf numFmtId="0" fontId="65" fillId="0" borderId="49" xfId="0" applyFont="1" applyBorder="1"/>
    <xf numFmtId="2" fontId="65" fillId="0" borderId="53" xfId="0" applyNumberFormat="1" applyFont="1" applyBorder="1" applyAlignment="1">
      <alignment horizontal="center"/>
    </xf>
    <xf numFmtId="0" fontId="0" fillId="0" borderId="53" xfId="0" applyBorder="1" applyAlignment="1">
      <alignment horizontal="center"/>
    </xf>
    <xf numFmtId="0" fontId="0" fillId="0" borderId="53" xfId="0" applyBorder="1"/>
    <xf numFmtId="0" fontId="63" fillId="0" borderId="53" xfId="0" applyFont="1" applyBorder="1"/>
    <xf numFmtId="2" fontId="63" fillId="0" borderId="53" xfId="0" applyNumberFormat="1" applyFont="1" applyBorder="1" applyAlignment="1">
      <alignment horizontal="center"/>
    </xf>
    <xf numFmtId="2" fontId="64" fillId="0" borderId="54" xfId="0" applyNumberFormat="1" applyFont="1" applyBorder="1" applyAlignment="1">
      <alignment horizontal="center"/>
    </xf>
    <xf numFmtId="0" fontId="64" fillId="7" borderId="49" xfId="0" applyFont="1" applyFill="1" applyBorder="1"/>
    <xf numFmtId="0" fontId="65" fillId="7" borderId="45" xfId="0" applyFont="1" applyFill="1" applyBorder="1"/>
    <xf numFmtId="0" fontId="65" fillId="7" borderId="53" xfId="0" applyFont="1" applyFill="1" applyBorder="1" applyAlignment="1">
      <alignment horizontal="center"/>
    </xf>
    <xf numFmtId="2" fontId="64" fillId="7" borderId="54" xfId="0" applyNumberFormat="1" applyFont="1" applyFill="1" applyBorder="1" applyAlignment="1">
      <alignment horizontal="center"/>
    </xf>
    <xf numFmtId="0" fontId="67" fillId="0" borderId="53" xfId="0" applyFont="1" applyBorder="1" applyAlignment="1">
      <alignment horizontal="center"/>
    </xf>
    <xf numFmtId="0" fontId="63" fillId="0" borderId="54" xfId="0" applyFont="1" applyBorder="1"/>
    <xf numFmtId="164" fontId="63" fillId="0" borderId="54" xfId="0" applyNumberFormat="1" applyFont="1" applyBorder="1"/>
    <xf numFmtId="0" fontId="65" fillId="8" borderId="49" xfId="0" applyFont="1" applyFill="1" applyBorder="1"/>
    <xf numFmtId="0" fontId="64" fillId="8" borderId="45" xfId="0" applyFont="1" applyFill="1" applyBorder="1"/>
    <xf numFmtId="0" fontId="65" fillId="8" borderId="53" xfId="0" applyFont="1" applyFill="1" applyBorder="1" applyAlignment="1">
      <alignment horizontal="center"/>
    </xf>
    <xf numFmtId="2" fontId="64" fillId="8" borderId="54" xfId="0" applyNumberFormat="1" applyFont="1" applyFill="1" applyBorder="1" applyAlignment="1">
      <alignment horizontal="center"/>
    </xf>
    <xf numFmtId="0" fontId="68" fillId="0" borderId="2" xfId="0" applyFont="1" applyBorder="1" applyAlignment="1">
      <alignment horizontal="center"/>
    </xf>
    <xf numFmtId="0" fontId="1" fillId="0" borderId="15" xfId="0" applyFont="1" applyBorder="1" applyAlignment="1">
      <alignment horizontal="center"/>
    </xf>
    <xf numFmtId="0" fontId="0" fillId="0" borderId="2" xfId="0" applyBorder="1" applyAlignment="1">
      <alignment horizontal="center"/>
    </xf>
    <xf numFmtId="0" fontId="1" fillId="0" borderId="2" xfId="0" applyFont="1" applyFill="1" applyBorder="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left" indent="1"/>
    </xf>
    <xf numFmtId="0" fontId="1" fillId="0" borderId="2" xfId="0" applyFont="1" applyFill="1" applyBorder="1" applyAlignment="1">
      <alignment horizontal="left" indent="1"/>
    </xf>
    <xf numFmtId="0" fontId="52" fillId="0" borderId="2" xfId="0" applyFont="1" applyBorder="1"/>
    <xf numFmtId="0" fontId="1" fillId="0" borderId="13" xfId="0" applyFont="1" applyFill="1" applyBorder="1" applyAlignment="1">
      <alignment horizontal="center"/>
    </xf>
    <xf numFmtId="0" fontId="0" fillId="0" borderId="13" xfId="0" applyBorder="1"/>
    <xf numFmtId="0" fontId="69" fillId="0" borderId="0" xfId="0" applyFont="1"/>
    <xf numFmtId="0" fontId="54" fillId="0" borderId="2" xfId="0" applyFont="1" applyBorder="1"/>
    <xf numFmtId="2" fontId="23" fillId="0" borderId="9" xfId="0" applyNumberFormat="1" applyFont="1" applyFill="1" applyBorder="1" applyAlignment="1">
      <alignment horizontal="center" vertical="center"/>
    </xf>
    <xf numFmtId="0" fontId="70" fillId="0" borderId="0" xfId="0" applyFont="1" applyAlignment="1">
      <alignment horizontal="center"/>
    </xf>
    <xf numFmtId="0" fontId="71" fillId="0" borderId="4" xfId="0" applyFont="1" applyBorder="1"/>
    <xf numFmtId="0" fontId="71" fillId="0" borderId="0" xfId="0" applyFont="1"/>
    <xf numFmtId="0" fontId="72" fillId="0" borderId="0" xfId="0" applyFont="1"/>
    <xf numFmtId="0" fontId="13" fillId="0" borderId="4" xfId="0" applyFont="1" applyBorder="1" applyAlignment="1">
      <alignment horizontal="center"/>
    </xf>
    <xf numFmtId="0" fontId="70" fillId="0" borderId="2" xfId="0" applyFont="1" applyBorder="1" applyAlignment="1">
      <alignment horizontal="center"/>
    </xf>
    <xf numFmtId="0" fontId="70" fillId="0" borderId="0" xfId="0" applyFont="1"/>
    <xf numFmtId="14" fontId="0" fillId="0" borderId="0" xfId="0" applyNumberFormat="1"/>
    <xf numFmtId="0" fontId="60" fillId="0" borderId="49" xfId="0" applyFont="1" applyFill="1" applyBorder="1" applyAlignment="1">
      <alignment horizontal="center"/>
    </xf>
    <xf numFmtId="0" fontId="59" fillId="0" borderId="2" xfId="0" applyFont="1" applyBorder="1" applyAlignment="1">
      <alignment horizontal="center"/>
    </xf>
    <xf numFmtId="0" fontId="59" fillId="0" borderId="0" xfId="0" applyFont="1" applyAlignment="1">
      <alignment horizontal="center"/>
    </xf>
    <xf numFmtId="0" fontId="0" fillId="0" borderId="0" xfId="0" applyAlignment="1">
      <alignment horizontal="right"/>
    </xf>
    <xf numFmtId="0" fontId="73" fillId="0" borderId="0" xfId="0" applyFont="1"/>
    <xf numFmtId="14" fontId="0" fillId="0" borderId="0" xfId="0" applyNumberFormat="1" applyAlignment="1">
      <alignment horizontal="center"/>
    </xf>
    <xf numFmtId="0" fontId="53" fillId="0" borderId="2" xfId="0" applyFont="1" applyBorder="1" applyAlignment="1">
      <alignment horizontal="left" vertical="center"/>
    </xf>
    <xf numFmtId="14" fontId="71" fillId="0" borderId="0" xfId="0" applyNumberFormat="1" applyFont="1" applyAlignment="1">
      <alignment horizontal="center"/>
    </xf>
    <xf numFmtId="14" fontId="53" fillId="0" borderId="0" xfId="0" applyNumberFormat="1" applyFont="1" applyAlignment="1">
      <alignment horizontal="center"/>
    </xf>
    <xf numFmtId="0" fontId="51" fillId="0" borderId="0" xfId="1" applyAlignment="1" applyProtection="1"/>
    <xf numFmtId="0" fontId="73" fillId="0" borderId="0" xfId="0" applyFont="1" applyAlignment="1">
      <alignment horizontal="center"/>
    </xf>
    <xf numFmtId="0" fontId="63" fillId="0" borderId="0" xfId="0" applyFont="1" applyAlignment="1">
      <alignment horizontal="center"/>
    </xf>
    <xf numFmtId="0" fontId="74" fillId="0" borderId="0" xfId="0" applyFont="1" applyAlignment="1">
      <alignment horizontal="center"/>
    </xf>
    <xf numFmtId="0" fontId="75" fillId="0" borderId="0" xfId="0" applyFont="1" applyAlignment="1">
      <alignment horizontal="center"/>
    </xf>
    <xf numFmtId="0" fontId="76" fillId="0" borderId="0" xfId="0" applyFont="1"/>
    <xf numFmtId="0" fontId="64" fillId="0" borderId="0" xfId="0" applyFont="1"/>
    <xf numFmtId="0" fontId="65" fillId="0" borderId="0" xfId="0" applyFont="1"/>
    <xf numFmtId="0" fontId="66" fillId="0" borderId="56" xfId="0" applyFont="1" applyBorder="1" applyAlignment="1">
      <alignment horizontal="center"/>
    </xf>
    <xf numFmtId="0" fontId="63" fillId="0" borderId="56" xfId="0" applyFont="1" applyBorder="1" applyAlignment="1">
      <alignment horizontal="center"/>
    </xf>
    <xf numFmtId="0" fontId="63" fillId="0" borderId="52" xfId="0" applyFont="1" applyBorder="1"/>
    <xf numFmtId="0" fontId="67" fillId="0" borderId="56" xfId="0" applyFont="1" applyBorder="1" applyAlignment="1">
      <alignment horizontal="center"/>
    </xf>
    <xf numFmtId="0" fontId="64" fillId="0" borderId="45" xfId="0" applyFont="1" applyBorder="1"/>
    <xf numFmtId="0" fontId="67" fillId="0" borderId="53" xfId="0" applyFont="1" applyBorder="1"/>
    <xf numFmtId="0" fontId="66" fillId="0" borderId="53" xfId="0" applyFont="1" applyBorder="1"/>
    <xf numFmtId="0" fontId="76" fillId="0" borderId="53" xfId="0" applyFont="1" applyBorder="1"/>
    <xf numFmtId="0" fontId="67" fillId="0" borderId="45" xfId="0" applyFont="1" applyBorder="1"/>
    <xf numFmtId="165" fontId="63" fillId="0" borderId="53" xfId="0" applyNumberFormat="1" applyFont="1" applyBorder="1" applyAlignment="1">
      <alignment horizontal="center"/>
    </xf>
    <xf numFmtId="2" fontId="77" fillId="0" borderId="53" xfId="0" applyNumberFormat="1" applyFont="1" applyFill="1" applyBorder="1" applyAlignment="1">
      <alignment horizontal="center"/>
    </xf>
    <xf numFmtId="2" fontId="67" fillId="0" borderId="53" xfId="0" applyNumberFormat="1" applyFont="1" applyFill="1" applyBorder="1" applyAlignment="1">
      <alignment horizontal="center"/>
    </xf>
    <xf numFmtId="2" fontId="77" fillId="0" borderId="53" xfId="0" applyNumberFormat="1" applyFont="1" applyBorder="1" applyAlignment="1">
      <alignment horizontal="center"/>
    </xf>
    <xf numFmtId="2" fontId="76" fillId="0" borderId="53" xfId="0" applyNumberFormat="1" applyFont="1" applyBorder="1" applyAlignment="1">
      <alignment horizontal="center"/>
    </xf>
    <xf numFmtId="2" fontId="67" fillId="0" borderId="53" xfId="0" applyNumberFormat="1" applyFont="1" applyBorder="1" applyAlignment="1">
      <alignment horizontal="center"/>
    </xf>
    <xf numFmtId="164" fontId="76" fillId="0" borderId="53" xfId="0" applyNumberFormat="1" applyFont="1" applyBorder="1" applyAlignment="1">
      <alignment horizontal="center"/>
    </xf>
    <xf numFmtId="0" fontId="65" fillId="0" borderId="53" xfId="0" applyFont="1" applyBorder="1"/>
    <xf numFmtId="0" fontId="64" fillId="0" borderId="53" xfId="0" applyFont="1" applyBorder="1" applyAlignment="1">
      <alignment horizontal="center"/>
    </xf>
    <xf numFmtId="2" fontId="64" fillId="0" borderId="53" xfId="0" applyNumberFormat="1" applyFont="1" applyBorder="1" applyAlignment="1">
      <alignment horizontal="center"/>
    </xf>
    <xf numFmtId="164" fontId="77" fillId="0" borderId="53" xfId="0" applyNumberFormat="1" applyFont="1" applyBorder="1" applyAlignment="1">
      <alignment horizontal="center"/>
    </xf>
    <xf numFmtId="0" fontId="65" fillId="0" borderId="52" xfId="0" applyFont="1" applyBorder="1"/>
    <xf numFmtId="0" fontId="64" fillId="0" borderId="52" xfId="0" applyFont="1" applyBorder="1" applyAlignment="1">
      <alignment horizontal="center"/>
    </xf>
    <xf numFmtId="2" fontId="64" fillId="0" borderId="52" xfId="0" applyNumberFormat="1" applyFont="1" applyBorder="1" applyAlignment="1">
      <alignment horizontal="center"/>
    </xf>
    <xf numFmtId="164" fontId="64" fillId="0" borderId="52" xfId="0" applyNumberFormat="1" applyFont="1" applyBorder="1" applyAlignment="1">
      <alignment horizontal="center"/>
    </xf>
    <xf numFmtId="0" fontId="67" fillId="0" borderId="0" xfId="0" applyFont="1"/>
    <xf numFmtId="0" fontId="63" fillId="0" borderId="0" xfId="0" applyFont="1"/>
    <xf numFmtId="0" fontId="77" fillId="0" borderId="45" xfId="0" applyFont="1" applyBorder="1" applyAlignment="1">
      <alignment horizontal="center"/>
    </xf>
    <xf numFmtId="0" fontId="77" fillId="0" borderId="46" xfId="0" applyFont="1" applyBorder="1" applyAlignment="1">
      <alignment horizontal="center"/>
    </xf>
    <xf numFmtId="0" fontId="76" fillId="0" borderId="0" xfId="0" applyFont="1" applyBorder="1"/>
    <xf numFmtId="0" fontId="76" fillId="0" borderId="16" xfId="0" applyFont="1" applyBorder="1"/>
    <xf numFmtId="0" fontId="76" fillId="0" borderId="17" xfId="0" applyFont="1" applyBorder="1"/>
    <xf numFmtId="0" fontId="66" fillId="0" borderId="57" xfId="0" applyFont="1" applyBorder="1" applyAlignment="1">
      <alignment horizontal="center"/>
    </xf>
    <xf numFmtId="0" fontId="63" fillId="0" borderId="57" xfId="0" applyFont="1" applyBorder="1" applyAlignment="1">
      <alignment horizontal="center"/>
    </xf>
    <xf numFmtId="0" fontId="63" fillId="0" borderId="58" xfId="0" applyFont="1" applyBorder="1" applyAlignment="1">
      <alignment horizontal="center"/>
    </xf>
    <xf numFmtId="0" fontId="63" fillId="0" borderId="17" xfId="0" applyFont="1" applyBorder="1" applyAlignment="1">
      <alignment horizontal="center"/>
    </xf>
    <xf numFmtId="0" fontId="63" fillId="0" borderId="59" xfId="0" applyFont="1" applyBorder="1" applyAlignment="1">
      <alignment horizontal="center"/>
    </xf>
    <xf numFmtId="0" fontId="65" fillId="0" borderId="60" xfId="0" applyFont="1" applyBorder="1" applyAlignment="1">
      <alignment horizontal="center"/>
    </xf>
    <xf numFmtId="0" fontId="76" fillId="0" borderId="5" xfId="0" applyFont="1" applyBorder="1"/>
    <xf numFmtId="0" fontId="65" fillId="0" borderId="61" xfId="0" applyFont="1" applyBorder="1" applyAlignment="1">
      <alignment horizontal="center"/>
    </xf>
    <xf numFmtId="0" fontId="64" fillId="0" borderId="62" xfId="0" applyFont="1" applyBorder="1"/>
    <xf numFmtId="0" fontId="64" fillId="0" borderId="63" xfId="0" applyFont="1" applyBorder="1"/>
    <xf numFmtId="0" fontId="63" fillId="0" borderId="62" xfId="0" applyFont="1" applyBorder="1"/>
    <xf numFmtId="2" fontId="67" fillId="0" borderId="63" xfId="0" applyNumberFormat="1" applyFont="1" applyFill="1" applyBorder="1" applyAlignment="1">
      <alignment horizontal="center"/>
    </xf>
    <xf numFmtId="2" fontId="77" fillId="0" borderId="63" xfId="0" applyNumberFormat="1" applyFont="1" applyBorder="1" applyAlignment="1">
      <alignment horizontal="center"/>
    </xf>
    <xf numFmtId="2" fontId="67" fillId="0" borderId="63" xfId="0" applyNumberFormat="1" applyFont="1" applyBorder="1" applyAlignment="1">
      <alignment horizontal="center"/>
    </xf>
    <xf numFmtId="0" fontId="76" fillId="0" borderId="62" xfId="0" applyFont="1" applyBorder="1"/>
    <xf numFmtId="2" fontId="64" fillId="0" borderId="63" xfId="0" applyNumberFormat="1" applyFont="1" applyBorder="1" applyAlignment="1">
      <alignment horizontal="center"/>
    </xf>
    <xf numFmtId="0" fontId="76" fillId="0" borderId="64" xfId="0" applyFont="1" applyBorder="1"/>
    <xf numFmtId="2" fontId="64" fillId="0" borderId="65" xfId="0" applyNumberFormat="1" applyFont="1" applyBorder="1" applyAlignment="1">
      <alignment horizontal="center"/>
    </xf>
    <xf numFmtId="0" fontId="64" fillId="0" borderId="66" xfId="0" applyFont="1" applyBorder="1"/>
    <xf numFmtId="0" fontId="64" fillId="0" borderId="67" xfId="0" applyFont="1" applyBorder="1" applyAlignment="1">
      <alignment horizontal="right"/>
    </xf>
    <xf numFmtId="9" fontId="65" fillId="0" borderId="68" xfId="0" applyNumberFormat="1" applyFont="1" applyBorder="1" applyAlignment="1">
      <alignment horizontal="center"/>
    </xf>
    <xf numFmtId="165" fontId="65" fillId="0" borderId="68" xfId="0" applyNumberFormat="1" applyFont="1" applyBorder="1" applyAlignment="1">
      <alignment horizontal="center"/>
    </xf>
    <xf numFmtId="0" fontId="64" fillId="0" borderId="68" xfId="0" applyFont="1" applyBorder="1" applyAlignment="1">
      <alignment horizontal="center"/>
    </xf>
    <xf numFmtId="164" fontId="64" fillId="0" borderId="68" xfId="0" applyNumberFormat="1" applyFont="1" applyBorder="1" applyAlignment="1">
      <alignment horizontal="center"/>
    </xf>
    <xf numFmtId="0" fontId="64" fillId="0" borderId="69" xfId="0" applyFont="1" applyBorder="1" applyAlignment="1">
      <alignment horizontal="center"/>
    </xf>
    <xf numFmtId="2" fontId="66" fillId="0" borderId="53" xfId="0" applyNumberFormat="1" applyFont="1" applyBorder="1" applyAlignment="1">
      <alignment horizontal="right"/>
    </xf>
    <xf numFmtId="2" fontId="66" fillId="0" borderId="52" xfId="0" applyNumberFormat="1" applyFont="1" applyBorder="1" applyAlignment="1">
      <alignment horizontal="right"/>
    </xf>
    <xf numFmtId="166" fontId="63" fillId="0" borderId="53" xfId="0" applyNumberFormat="1" applyFont="1" applyBorder="1" applyAlignment="1">
      <alignment horizontal="center"/>
    </xf>
    <xf numFmtId="0" fontId="63" fillId="9" borderId="49" xfId="0" applyFont="1" applyFill="1" applyBorder="1"/>
    <xf numFmtId="0" fontId="63" fillId="9" borderId="45" xfId="0" applyFont="1" applyFill="1" applyBorder="1"/>
    <xf numFmtId="0" fontId="63" fillId="9" borderId="53" xfId="0" applyFont="1" applyFill="1" applyBorder="1" applyAlignment="1">
      <alignment horizontal="center"/>
    </xf>
    <xf numFmtId="164" fontId="65" fillId="9" borderId="53" xfId="0" applyNumberFormat="1" applyFont="1" applyFill="1" applyBorder="1" applyAlignment="1">
      <alignment horizontal="center"/>
    </xf>
    <xf numFmtId="0" fontId="0" fillId="9" borderId="0" xfId="0" applyFill="1"/>
    <xf numFmtId="0" fontId="63" fillId="3" borderId="49" xfId="0" applyFont="1" applyFill="1" applyBorder="1"/>
    <xf numFmtId="0" fontId="63" fillId="3" borderId="45" xfId="0" applyFont="1" applyFill="1" applyBorder="1"/>
    <xf numFmtId="0" fontId="63" fillId="3" borderId="53" xfId="0" applyFont="1" applyFill="1" applyBorder="1" applyAlignment="1">
      <alignment horizontal="center"/>
    </xf>
    <xf numFmtId="0" fontId="0" fillId="3" borderId="0" xfId="0" applyFill="1"/>
    <xf numFmtId="164" fontId="63" fillId="3" borderId="53" xfId="0" applyNumberFormat="1" applyFont="1" applyFill="1" applyBorder="1"/>
    <xf numFmtId="0" fontId="0" fillId="0" borderId="0" xfId="0" applyFill="1"/>
    <xf numFmtId="0" fontId="63" fillId="0" borderId="0" xfId="0" applyFont="1" applyAlignment="1">
      <alignment horizontal="center"/>
    </xf>
    <xf numFmtId="2" fontId="0" fillId="0" borderId="2" xfId="0" applyNumberFormat="1" applyBorder="1"/>
    <xf numFmtId="2" fontId="52" fillId="0" borderId="2" xfId="0" applyNumberFormat="1" applyFont="1" applyBorder="1"/>
    <xf numFmtId="2" fontId="52" fillId="0" borderId="2" xfId="0" applyNumberFormat="1" applyFont="1" applyBorder="1" applyAlignment="1">
      <alignment horizontal="center"/>
    </xf>
    <xf numFmtId="0" fontId="63" fillId="0" borderId="0" xfId="0" applyFont="1" applyAlignment="1">
      <alignment horizontal="center"/>
    </xf>
    <xf numFmtId="0" fontId="67" fillId="0" borderId="0" xfId="0" applyFont="1" applyAlignment="1">
      <alignment horizontal="center"/>
    </xf>
    <xf numFmtId="0" fontId="63" fillId="0" borderId="0" xfId="0" applyFont="1" applyAlignment="1">
      <alignment horizontal="center"/>
    </xf>
    <xf numFmtId="0" fontId="78" fillId="0" borderId="0" xfId="0" applyFont="1"/>
    <xf numFmtId="0" fontId="53" fillId="0" borderId="18" xfId="0" applyFont="1" applyBorder="1" applyAlignment="1">
      <alignment horizontal="center"/>
    </xf>
    <xf numFmtId="0" fontId="53" fillId="0" borderId="19" xfId="0" applyFont="1" applyBorder="1" applyAlignment="1">
      <alignment horizontal="center"/>
    </xf>
    <xf numFmtId="0" fontId="53" fillId="0" borderId="20" xfId="0" applyFont="1" applyBorder="1" applyAlignment="1">
      <alignment horizontal="center"/>
    </xf>
    <xf numFmtId="0" fontId="53" fillId="0" borderId="21" xfId="0" applyFont="1" applyBorder="1" applyAlignment="1">
      <alignment horizontal="center"/>
    </xf>
    <xf numFmtId="0" fontId="53" fillId="0" borderId="3" xfId="0" applyFont="1" applyBorder="1"/>
    <xf numFmtId="0" fontId="53" fillId="0" borderId="22" xfId="0" applyFont="1" applyBorder="1"/>
    <xf numFmtId="0" fontId="53" fillId="0" borderId="5" xfId="0" applyFont="1" applyFill="1" applyBorder="1" applyAlignment="1">
      <alignment horizontal="center"/>
    </xf>
    <xf numFmtId="0" fontId="52" fillId="0" borderId="0" xfId="0" applyFont="1" applyBorder="1"/>
    <xf numFmtId="0" fontId="0" fillId="0" borderId="0" xfId="0" applyBorder="1"/>
    <xf numFmtId="0" fontId="0" fillId="0" borderId="23" xfId="0" applyBorder="1"/>
    <xf numFmtId="0" fontId="53" fillId="0" borderId="3" xfId="0" applyFont="1" applyFill="1" applyBorder="1" applyAlignment="1">
      <alignment horizontal="center"/>
    </xf>
    <xf numFmtId="0" fontId="0" fillId="0" borderId="22" xfId="0" applyBorder="1"/>
    <xf numFmtId="2" fontId="0" fillId="0" borderId="22" xfId="0" applyNumberFormat="1" applyBorder="1"/>
    <xf numFmtId="0" fontId="61" fillId="0" borderId="62" xfId="0" applyFont="1" applyBorder="1" applyAlignment="1">
      <alignment horizontal="center"/>
    </xf>
    <xf numFmtId="0" fontId="61" fillId="0" borderId="5" xfId="0" applyFont="1" applyBorder="1" applyAlignment="1">
      <alignment horizontal="center"/>
    </xf>
    <xf numFmtId="0" fontId="59" fillId="0" borderId="0" xfId="0" applyFont="1" applyBorder="1" applyAlignment="1">
      <alignment horizontal="center"/>
    </xf>
    <xf numFmtId="0" fontId="61" fillId="0" borderId="64" xfId="0" applyFont="1" applyBorder="1" applyAlignment="1">
      <alignment horizontal="center"/>
    </xf>
    <xf numFmtId="0" fontId="59" fillId="0" borderId="22" xfId="0" applyFont="1" applyBorder="1" applyAlignment="1">
      <alignment horizontal="center"/>
    </xf>
    <xf numFmtId="0" fontId="61" fillId="0" borderId="3" xfId="0" applyFont="1" applyFill="1" applyBorder="1" applyAlignment="1">
      <alignment horizontal="center"/>
    </xf>
    <xf numFmtId="2" fontId="52" fillId="0" borderId="22" xfId="0" applyNumberFormat="1" applyFont="1" applyBorder="1" applyAlignment="1">
      <alignment horizontal="center"/>
    </xf>
    <xf numFmtId="2" fontId="52" fillId="0" borderId="22" xfId="0" applyNumberFormat="1" applyFont="1" applyBorder="1"/>
    <xf numFmtId="0" fontId="61" fillId="0" borderId="24" xfId="0" applyFont="1" applyFill="1" applyBorder="1" applyAlignment="1">
      <alignment horizontal="center"/>
    </xf>
    <xf numFmtId="0" fontId="61" fillId="0" borderId="67" xfId="0" applyFont="1" applyBorder="1"/>
    <xf numFmtId="0" fontId="61" fillId="0" borderId="15" xfId="0" applyFont="1" applyBorder="1" applyAlignment="1">
      <alignment horizontal="center"/>
    </xf>
    <xf numFmtId="0" fontId="60" fillId="0" borderId="67" xfId="0" applyFont="1" applyBorder="1"/>
    <xf numFmtId="2" fontId="0" fillId="0" borderId="25" xfId="0" applyNumberFormat="1" applyBorder="1"/>
    <xf numFmtId="0" fontId="63" fillId="0" borderId="0" xfId="0" applyFont="1" applyAlignment="1">
      <alignment horizontal="center"/>
    </xf>
    <xf numFmtId="0" fontId="75" fillId="0" borderId="0" xfId="0" applyFont="1" applyAlignment="1">
      <alignment horizontal="center"/>
    </xf>
    <xf numFmtId="2" fontId="0" fillId="0" borderId="0" xfId="0" applyNumberFormat="1"/>
    <xf numFmtId="2" fontId="65" fillId="10" borderId="53" xfId="0" applyNumberFormat="1" applyFont="1" applyFill="1" applyBorder="1" applyAlignment="1">
      <alignment horizontal="center"/>
    </xf>
    <xf numFmtId="0" fontId="65" fillId="11" borderId="49" xfId="0" applyFont="1" applyFill="1" applyBorder="1"/>
    <xf numFmtId="0" fontId="65" fillId="11" borderId="45" xfId="0" applyFont="1" applyFill="1" applyBorder="1"/>
    <xf numFmtId="0" fontId="65" fillId="11" borderId="53" xfId="0" applyFont="1" applyFill="1" applyBorder="1" applyAlignment="1">
      <alignment horizontal="center"/>
    </xf>
    <xf numFmtId="2" fontId="65" fillId="11" borderId="53" xfId="0" applyNumberFormat="1" applyFont="1" applyFill="1" applyBorder="1" applyAlignment="1">
      <alignment horizontal="center"/>
    </xf>
    <xf numFmtId="0" fontId="63" fillId="0" borderId="49" xfId="0" applyFont="1" applyFill="1" applyBorder="1"/>
    <xf numFmtId="0" fontId="63" fillId="0" borderId="45" xfId="0" applyFont="1" applyFill="1" applyBorder="1"/>
    <xf numFmtId="0" fontId="63" fillId="0" borderId="53" xfId="0" applyFont="1" applyFill="1" applyBorder="1" applyAlignment="1">
      <alignment horizontal="center"/>
    </xf>
    <xf numFmtId="0" fontId="63" fillId="10" borderId="49" xfId="0" applyFont="1" applyFill="1" applyBorder="1"/>
    <xf numFmtId="0" fontId="63" fillId="10" borderId="45" xfId="0" applyFont="1" applyFill="1" applyBorder="1"/>
    <xf numFmtId="0" fontId="63" fillId="10" borderId="53" xfId="0" applyFont="1" applyFill="1" applyBorder="1" applyAlignment="1">
      <alignment horizontal="center"/>
    </xf>
    <xf numFmtId="0" fontId="63" fillId="5" borderId="49" xfId="0" applyFont="1" applyFill="1" applyBorder="1"/>
    <xf numFmtId="0" fontId="63" fillId="5" borderId="45" xfId="0" applyFont="1" applyFill="1" applyBorder="1"/>
    <xf numFmtId="0" fontId="63" fillId="5" borderId="53" xfId="0" applyFont="1" applyFill="1" applyBorder="1" applyAlignment="1">
      <alignment horizontal="center"/>
    </xf>
    <xf numFmtId="2" fontId="65" fillId="5" borderId="53" xfId="0" applyNumberFormat="1" applyFont="1" applyFill="1" applyBorder="1" applyAlignment="1">
      <alignment horizontal="center"/>
    </xf>
    <xf numFmtId="0" fontId="0" fillId="5" borderId="0" xfId="0" applyFill="1"/>
    <xf numFmtId="2" fontId="0" fillId="0" borderId="22" xfId="0" applyNumberFormat="1" applyBorder="1" applyAlignment="1">
      <alignment horizontal="center"/>
    </xf>
    <xf numFmtId="0" fontId="62" fillId="0" borderId="67" xfId="0" applyFont="1" applyBorder="1"/>
    <xf numFmtId="0" fontId="59" fillId="0" borderId="70" xfId="0" applyFont="1" applyBorder="1" applyAlignment="1">
      <alignment horizontal="center"/>
    </xf>
    <xf numFmtId="2" fontId="52" fillId="0" borderId="25" xfId="0" applyNumberFormat="1" applyFont="1" applyBorder="1"/>
    <xf numFmtId="0" fontId="59" fillId="0" borderId="71" xfId="0" applyFont="1" applyBorder="1" applyAlignment="1">
      <alignment horizontal="center"/>
    </xf>
    <xf numFmtId="0" fontId="60" fillId="0" borderId="72" xfId="0" applyFont="1" applyFill="1" applyBorder="1" applyAlignment="1">
      <alignment horizontal="center"/>
    </xf>
    <xf numFmtId="0" fontId="0" fillId="0" borderId="26" xfId="0" applyBorder="1" applyAlignment="1">
      <alignment horizontal="center"/>
    </xf>
    <xf numFmtId="0" fontId="60" fillId="0" borderId="2" xfId="0" applyFont="1" applyFill="1" applyBorder="1" applyAlignment="1">
      <alignment horizontal="center"/>
    </xf>
    <xf numFmtId="0" fontId="62" fillId="0" borderId="2" xfId="0" applyFont="1" applyBorder="1"/>
    <xf numFmtId="0" fontId="61" fillId="0" borderId="2" xfId="0" applyFont="1" applyBorder="1"/>
    <xf numFmtId="167" fontId="63" fillId="0" borderId="53" xfId="0" applyNumberFormat="1" applyFont="1" applyBorder="1"/>
    <xf numFmtId="167" fontId="63" fillId="0" borderId="53" xfId="0" applyNumberFormat="1" applyFont="1" applyFill="1" applyBorder="1"/>
    <xf numFmtId="0" fontId="75" fillId="0" borderId="0" xfId="0" applyFont="1" applyAlignment="1">
      <alignment horizontal="center"/>
    </xf>
    <xf numFmtId="0" fontId="63" fillId="0" borderId="0" xfId="0" applyFont="1" applyAlignment="1">
      <alignment horizontal="center"/>
    </xf>
    <xf numFmtId="0" fontId="1" fillId="12" borderId="0" xfId="0" applyFont="1" applyFill="1" applyBorder="1" applyAlignment="1">
      <alignment horizontal="left" indent="1"/>
    </xf>
    <xf numFmtId="0" fontId="79" fillId="0" borderId="0" xfId="0" applyFont="1"/>
    <xf numFmtId="0" fontId="0" fillId="0" borderId="22" xfId="0" applyBorder="1" applyAlignment="1">
      <alignment horizontal="center"/>
    </xf>
    <xf numFmtId="0" fontId="61" fillId="0" borderId="3" xfId="0" applyFont="1" applyBorder="1" applyAlignment="1">
      <alignment horizontal="center"/>
    </xf>
    <xf numFmtId="0" fontId="59" fillId="0" borderId="22" xfId="0" applyFont="1" applyBorder="1" applyAlignment="1">
      <alignment horizontal="right"/>
    </xf>
    <xf numFmtId="0" fontId="54" fillId="0" borderId="5" xfId="0" applyFont="1" applyFill="1" applyBorder="1" applyAlignment="1">
      <alignment horizontal="center"/>
    </xf>
    <xf numFmtId="0" fontId="54" fillId="0" borderId="27" xfId="0" applyFont="1" applyFill="1" applyBorder="1" applyAlignment="1">
      <alignment horizontal="center"/>
    </xf>
    <xf numFmtId="0" fontId="63" fillId="0" borderId="0" xfId="0" applyFont="1" applyAlignment="1">
      <alignment horizontal="center"/>
    </xf>
    <xf numFmtId="0" fontId="75" fillId="0" borderId="0" xfId="0" applyFont="1" applyAlignment="1">
      <alignment horizontal="center"/>
    </xf>
    <xf numFmtId="0" fontId="1" fillId="0" borderId="0" xfId="0" applyFont="1" applyFill="1" applyBorder="1" applyAlignment="1">
      <alignment horizontal="left" indent="1"/>
    </xf>
    <xf numFmtId="0" fontId="54" fillId="0" borderId="3" xfId="0" applyFont="1" applyBorder="1" applyAlignment="1">
      <alignment horizontal="center"/>
    </xf>
    <xf numFmtId="0" fontId="70" fillId="0" borderId="0" xfId="0" applyFont="1" applyBorder="1" applyAlignment="1">
      <alignment horizontal="center"/>
    </xf>
    <xf numFmtId="0" fontId="53" fillId="0" borderId="3" xfId="0" applyFont="1" applyBorder="1" applyAlignment="1">
      <alignment horizontal="center"/>
    </xf>
    <xf numFmtId="0" fontId="53" fillId="0" borderId="3" xfId="0" applyFont="1" applyBorder="1" applyAlignment="1">
      <alignment horizontal="center" vertical="center"/>
    </xf>
    <xf numFmtId="0" fontId="53" fillId="5" borderId="3" xfId="0" applyFont="1" applyFill="1" applyBorder="1" applyAlignment="1">
      <alignment horizontal="center"/>
    </xf>
    <xf numFmtId="0" fontId="53" fillId="3" borderId="3" xfId="0" applyFont="1" applyFill="1" applyBorder="1" applyAlignment="1">
      <alignment horizontal="center"/>
    </xf>
    <xf numFmtId="0" fontId="53" fillId="4" borderId="3" xfId="0" applyFont="1" applyFill="1" applyBorder="1" applyAlignment="1">
      <alignment horizontal="center"/>
    </xf>
    <xf numFmtId="0" fontId="53" fillId="0" borderId="27" xfId="0" applyFont="1" applyBorder="1" applyAlignment="1">
      <alignment horizontal="center"/>
    </xf>
    <xf numFmtId="0" fontId="53" fillId="2" borderId="3" xfId="0" applyFont="1" applyFill="1" applyBorder="1"/>
    <xf numFmtId="0" fontId="71" fillId="0" borderId="28" xfId="0" applyFont="1" applyBorder="1"/>
    <xf numFmtId="0" fontId="2" fillId="0" borderId="3" xfId="0" applyFont="1" applyFill="1" applyBorder="1" applyAlignment="1">
      <alignment horizontal="center"/>
    </xf>
    <xf numFmtId="0" fontId="1" fillId="0" borderId="15" xfId="0" applyFont="1" applyFill="1" applyBorder="1" applyAlignment="1">
      <alignment horizontal="center"/>
    </xf>
    <xf numFmtId="0" fontId="0" fillId="0" borderId="15" xfId="0" applyBorder="1"/>
    <xf numFmtId="0" fontId="63" fillId="0" borderId="0" xfId="0" applyFont="1" applyAlignment="1">
      <alignment horizontal="center"/>
    </xf>
    <xf numFmtId="0" fontId="75" fillId="0" borderId="0" xfId="0" applyFont="1" applyAlignment="1">
      <alignment horizontal="center"/>
    </xf>
    <xf numFmtId="14" fontId="80" fillId="0" borderId="0" xfId="0" applyNumberFormat="1" applyFont="1" applyAlignment="1">
      <alignment horizontal="center"/>
    </xf>
    <xf numFmtId="0" fontId="63" fillId="0" borderId="0" xfId="0" applyFont="1" applyAlignment="1">
      <alignment horizontal="center"/>
    </xf>
    <xf numFmtId="0" fontId="75" fillId="0" borderId="0" xfId="0" applyFont="1" applyAlignment="1">
      <alignment horizontal="center"/>
    </xf>
    <xf numFmtId="0" fontId="81" fillId="0" borderId="0" xfId="0" applyFont="1"/>
    <xf numFmtId="0" fontId="78" fillId="9" borderId="0" xfId="0" applyFont="1" applyFill="1"/>
    <xf numFmtId="2" fontId="21" fillId="0" borderId="9" xfId="0" applyNumberFormat="1" applyFont="1" applyFill="1" applyBorder="1" applyAlignment="1">
      <alignment horizontal="center" vertical="center"/>
    </xf>
    <xf numFmtId="14" fontId="71" fillId="9" borderId="0" xfId="0" applyNumberFormat="1" applyFont="1" applyFill="1" applyAlignment="1">
      <alignment horizontal="center"/>
    </xf>
    <xf numFmtId="0" fontId="29" fillId="0" borderId="0" xfId="0" applyFont="1" applyFill="1" applyBorder="1" applyAlignment="1">
      <alignment horizontal="left" indent="1"/>
    </xf>
    <xf numFmtId="0" fontId="80" fillId="0" borderId="0" xfId="0" applyFont="1"/>
    <xf numFmtId="0" fontId="1" fillId="0" borderId="8" xfId="0" applyFont="1" applyBorder="1" applyAlignment="1">
      <alignment horizontal="center" vertical="center"/>
    </xf>
    <xf numFmtId="0" fontId="70" fillId="4" borderId="0" xfId="0" applyFont="1" applyFill="1" applyBorder="1" applyAlignment="1">
      <alignment horizontal="center"/>
    </xf>
    <xf numFmtId="0" fontId="0" fillId="4" borderId="0" xfId="0" applyFill="1"/>
    <xf numFmtId="0" fontId="68" fillId="0" borderId="4" xfId="0" applyFont="1" applyBorder="1" applyAlignment="1">
      <alignment horizontal="center"/>
    </xf>
    <xf numFmtId="0" fontId="68" fillId="4" borderId="13" xfId="0" applyFont="1" applyFill="1" applyBorder="1" applyAlignment="1">
      <alignment horizontal="center"/>
    </xf>
    <xf numFmtId="0" fontId="68" fillId="4" borderId="29" xfId="0" applyFont="1" applyFill="1" applyBorder="1" applyAlignment="1">
      <alignment horizontal="center"/>
    </xf>
    <xf numFmtId="0" fontId="53" fillId="0" borderId="30" xfId="0" applyFont="1" applyBorder="1"/>
    <xf numFmtId="0" fontId="5" fillId="0" borderId="4" xfId="0" applyNumberFormat="1" applyFont="1" applyFill="1" applyBorder="1" applyAlignment="1" applyProtection="1">
      <alignment horizontal="center" vertical="center" wrapText="1"/>
      <protection locked="0"/>
    </xf>
    <xf numFmtId="0" fontId="5" fillId="4" borderId="13" xfId="0" applyNumberFormat="1" applyFont="1" applyFill="1" applyBorder="1" applyAlignment="1" applyProtection="1">
      <alignment horizontal="center" vertical="center" wrapText="1"/>
      <protection locked="0"/>
    </xf>
    <xf numFmtId="0" fontId="70" fillId="0" borderId="4" xfId="0" applyFont="1" applyBorder="1" applyAlignment="1">
      <alignment horizontal="center"/>
    </xf>
    <xf numFmtId="0" fontId="70" fillId="4" borderId="29" xfId="0" applyFont="1" applyFill="1" applyBorder="1" applyAlignment="1">
      <alignment horizontal="center"/>
    </xf>
    <xf numFmtId="0" fontId="78" fillId="4" borderId="8" xfId="0" applyFont="1" applyFill="1" applyBorder="1" applyAlignment="1">
      <alignment horizontal="center"/>
    </xf>
    <xf numFmtId="0" fontId="2" fillId="0" borderId="4" xfId="0" applyFont="1" applyBorder="1" applyAlignment="1">
      <alignment horizontal="left" indent="1"/>
    </xf>
    <xf numFmtId="0" fontId="2" fillId="0" borderId="8" xfId="0" applyFont="1" applyBorder="1" applyAlignment="1">
      <alignment horizontal="center"/>
    </xf>
    <xf numFmtId="0" fontId="2" fillId="4" borderId="14" xfId="0" applyFont="1" applyFill="1" applyBorder="1" applyAlignment="1">
      <alignment horizontal="center"/>
    </xf>
    <xf numFmtId="0" fontId="1" fillId="0" borderId="8" xfId="0" applyFont="1" applyBorder="1" applyAlignment="1">
      <alignment horizontal="center"/>
    </xf>
    <xf numFmtId="0" fontId="2" fillId="0" borderId="31" xfId="0" applyFont="1" applyBorder="1" applyAlignment="1">
      <alignment horizontal="center"/>
    </xf>
    <xf numFmtId="0" fontId="2" fillId="0" borderId="13" xfId="0" applyFont="1" applyBorder="1" applyAlignment="1">
      <alignment horizontal="left" indent="1"/>
    </xf>
    <xf numFmtId="0" fontId="1" fillId="0" borderId="9" xfId="0" applyFont="1" applyBorder="1" applyAlignment="1">
      <alignment horizontal="center"/>
    </xf>
    <xf numFmtId="0" fontId="1" fillId="4" borderId="14" xfId="0" applyFont="1" applyFill="1" applyBorder="1" applyAlignment="1">
      <alignment horizontal="center"/>
    </xf>
    <xf numFmtId="2" fontId="21" fillId="0" borderId="4" xfId="0" applyNumberFormat="1" applyFont="1" applyFill="1" applyBorder="1" applyAlignment="1">
      <alignment horizontal="center" vertical="center"/>
    </xf>
    <xf numFmtId="2" fontId="21" fillId="4" borderId="13" xfId="0" applyNumberFormat="1" applyFont="1" applyFill="1" applyBorder="1" applyAlignment="1">
      <alignment horizontal="center" vertical="center"/>
    </xf>
    <xf numFmtId="0" fontId="2" fillId="0" borderId="9" xfId="0" applyFont="1" applyBorder="1" applyAlignment="1">
      <alignment horizontal="center"/>
    </xf>
    <xf numFmtId="0" fontId="2" fillId="4" borderId="13" xfId="0" applyFont="1" applyFill="1" applyBorder="1" applyAlignment="1">
      <alignment horizontal="left" indent="1"/>
    </xf>
    <xf numFmtId="0" fontId="14" fillId="0" borderId="4" xfId="0" applyFont="1" applyBorder="1" applyAlignment="1">
      <alignment horizontal="left" indent="1"/>
    </xf>
    <xf numFmtId="0" fontId="14" fillId="4" borderId="13" xfId="0" applyFont="1" applyFill="1" applyBorder="1" applyAlignment="1">
      <alignment horizontal="left" indent="1"/>
    </xf>
    <xf numFmtId="0" fontId="14" fillId="0" borderId="4" xfId="0" applyFont="1" applyBorder="1" applyAlignment="1">
      <alignment horizontal="left" vertical="center" indent="1"/>
    </xf>
    <xf numFmtId="0" fontId="14" fillId="4" borderId="13" xfId="0" applyFont="1" applyFill="1" applyBorder="1" applyAlignment="1">
      <alignment horizontal="left" vertical="center" indent="1"/>
    </xf>
    <xf numFmtId="0" fontId="1" fillId="0" borderId="1" xfId="0" applyFont="1" applyBorder="1" applyAlignment="1">
      <alignment horizontal="center"/>
    </xf>
    <xf numFmtId="0" fontId="2" fillId="0" borderId="1" xfId="0" applyFont="1" applyBorder="1" applyAlignment="1">
      <alignment horizontal="center"/>
    </xf>
    <xf numFmtId="0" fontId="2" fillId="0" borderId="4" xfId="0" applyFont="1" applyFill="1" applyBorder="1" applyAlignment="1">
      <alignment horizontal="left" indent="1"/>
    </xf>
    <xf numFmtId="0" fontId="2" fillId="0" borderId="31" xfId="0" applyFont="1" applyFill="1" applyBorder="1" applyAlignment="1">
      <alignment horizontal="center"/>
    </xf>
    <xf numFmtId="0" fontId="2" fillId="0" borderId="13" xfId="0" applyFont="1" applyFill="1" applyBorder="1" applyAlignment="1">
      <alignment horizontal="left" indent="1"/>
    </xf>
    <xf numFmtId="0" fontId="2" fillId="0" borderId="14" xfId="0" applyFont="1" applyFill="1" applyBorder="1" applyAlignment="1">
      <alignment horizontal="center"/>
    </xf>
    <xf numFmtId="0" fontId="2" fillId="0" borderId="10" xfId="0" applyFont="1" applyFill="1" applyBorder="1" applyAlignment="1">
      <alignment horizontal="center"/>
    </xf>
    <xf numFmtId="0" fontId="2" fillId="0" borderId="9" xfId="0" applyFont="1" applyFill="1" applyBorder="1" applyAlignment="1">
      <alignment horizontal="center"/>
    </xf>
    <xf numFmtId="0" fontId="2" fillId="0" borderId="32" xfId="0" applyFont="1" applyFill="1" applyBorder="1" applyAlignment="1">
      <alignment horizontal="center"/>
    </xf>
    <xf numFmtId="0" fontId="2" fillId="0" borderId="29" xfId="0" applyFont="1" applyFill="1" applyBorder="1" applyAlignment="1">
      <alignment horizontal="left" indent="1"/>
    </xf>
    <xf numFmtId="0" fontId="78" fillId="4" borderId="1" xfId="0" applyFont="1" applyFill="1" applyBorder="1" applyAlignment="1">
      <alignment horizontal="center"/>
    </xf>
    <xf numFmtId="0" fontId="54" fillId="0" borderId="28" xfId="0" applyFont="1" applyBorder="1" applyAlignment="1">
      <alignment horizontal="center"/>
    </xf>
    <xf numFmtId="0" fontId="54" fillId="0" borderId="33" xfId="0" applyFont="1" applyBorder="1"/>
    <xf numFmtId="0" fontId="53" fillId="0" borderId="31" xfId="0" applyFont="1" applyBorder="1" applyAlignment="1">
      <alignment horizontal="center"/>
    </xf>
    <xf numFmtId="0" fontId="58" fillId="0" borderId="30" xfId="0" applyFont="1" applyBorder="1"/>
    <xf numFmtId="0" fontId="54" fillId="0" borderId="9" xfId="0" applyFont="1" applyBorder="1" applyAlignment="1">
      <alignment horizontal="center"/>
    </xf>
    <xf numFmtId="0" fontId="54" fillId="4" borderId="14" xfId="0" applyFont="1" applyFill="1" applyBorder="1" applyAlignment="1">
      <alignment horizontal="center"/>
    </xf>
    <xf numFmtId="0" fontId="53" fillId="0" borderId="9" xfId="0" applyFont="1" applyBorder="1" applyAlignment="1">
      <alignment horizontal="center"/>
    </xf>
    <xf numFmtId="0" fontId="53" fillId="4" borderId="14" xfId="0" applyFont="1" applyFill="1" applyBorder="1" applyAlignment="1">
      <alignment horizontal="center"/>
    </xf>
    <xf numFmtId="0" fontId="53" fillId="0" borderId="9" xfId="0" applyFont="1" applyBorder="1" applyAlignment="1">
      <alignment horizontal="center" vertical="center"/>
    </xf>
    <xf numFmtId="0" fontId="53" fillId="4" borderId="14" xfId="0" applyFont="1" applyFill="1" applyBorder="1" applyAlignment="1">
      <alignment horizontal="center" vertical="center"/>
    </xf>
    <xf numFmtId="0" fontId="54" fillId="0" borderId="4" xfId="0" applyFont="1" applyBorder="1"/>
    <xf numFmtId="0" fontId="54" fillId="4" borderId="13" xfId="0" applyFont="1" applyFill="1" applyBorder="1"/>
    <xf numFmtId="0" fontId="53" fillId="4" borderId="13" xfId="0" applyFont="1" applyFill="1" applyBorder="1"/>
    <xf numFmtId="0" fontId="53" fillId="0" borderId="4" xfId="0" applyFont="1" applyBorder="1" applyAlignment="1">
      <alignment horizontal="left" vertical="center"/>
    </xf>
    <xf numFmtId="0" fontId="53" fillId="4" borderId="13" xfId="0" applyFont="1" applyFill="1" applyBorder="1" applyAlignment="1">
      <alignment horizontal="left" vertical="center"/>
    </xf>
    <xf numFmtId="0" fontId="54" fillId="0" borderId="34" xfId="0" applyFont="1" applyFill="1" applyBorder="1" applyAlignment="1">
      <alignment horizontal="center"/>
    </xf>
    <xf numFmtId="0" fontId="61" fillId="0" borderId="31" xfId="0" applyFont="1" applyBorder="1" applyAlignment="1">
      <alignment horizontal="center"/>
    </xf>
    <xf numFmtId="0" fontId="59" fillId="0" borderId="13" xfId="0" applyFont="1" applyBorder="1"/>
    <xf numFmtId="0" fontId="60" fillId="0" borderId="4" xfId="0" applyFont="1" applyBorder="1"/>
    <xf numFmtId="0" fontId="60" fillId="0" borderId="13" xfId="0" applyFont="1" applyBorder="1"/>
    <xf numFmtId="2" fontId="82" fillId="0" borderId="1" xfId="0" applyNumberFormat="1" applyFont="1" applyBorder="1" applyAlignment="1">
      <alignment horizontal="left"/>
    </xf>
    <xf numFmtId="0" fontId="53" fillId="0" borderId="4" xfId="0" applyFont="1" applyBorder="1" applyAlignment="1">
      <alignment horizontal="left" vertical="center"/>
    </xf>
    <xf numFmtId="0" fontId="61" fillId="0" borderId="28" xfId="0" applyFont="1" applyBorder="1" applyAlignment="1">
      <alignment horizontal="center"/>
    </xf>
    <xf numFmtId="0" fontId="59" fillId="0" borderId="4" xfId="0" applyFont="1" applyBorder="1"/>
    <xf numFmtId="0" fontId="61" fillId="0" borderId="31" xfId="0" applyFont="1" applyFill="1" applyBorder="1" applyAlignment="1">
      <alignment horizontal="center"/>
    </xf>
    <xf numFmtId="0" fontId="62" fillId="0" borderId="13" xfId="0" applyFont="1" applyBorder="1"/>
    <xf numFmtId="0" fontId="59" fillId="0" borderId="8" xfId="0" applyFont="1" applyBorder="1" applyAlignment="1">
      <alignment horizontal="center"/>
    </xf>
    <xf numFmtId="0" fontId="82" fillId="0" borderId="8" xfId="0" applyFont="1" applyBorder="1" applyAlignment="1">
      <alignment horizontal="center"/>
    </xf>
    <xf numFmtId="0" fontId="0" fillId="0" borderId="35" xfId="0" applyBorder="1" applyAlignment="1">
      <alignment horizontal="center"/>
    </xf>
    <xf numFmtId="2" fontId="83" fillId="0" borderId="35" xfId="0" applyNumberFormat="1" applyFont="1" applyBorder="1" applyAlignment="1">
      <alignment horizontal="left"/>
    </xf>
    <xf numFmtId="2" fontId="0" fillId="0" borderId="35" xfId="0" applyNumberFormat="1" applyBorder="1" applyAlignment="1">
      <alignment horizontal="center"/>
    </xf>
    <xf numFmtId="2" fontId="52" fillId="0" borderId="35" xfId="0" applyNumberFormat="1" applyFont="1" applyBorder="1" applyAlignment="1">
      <alignment horizontal="center"/>
    </xf>
    <xf numFmtId="0" fontId="59" fillId="0" borderId="4" xfId="0" applyFont="1" applyBorder="1" applyAlignment="1">
      <alignment horizontal="center"/>
    </xf>
    <xf numFmtId="2" fontId="84" fillId="0" borderId="35" xfId="0" applyNumberFormat="1" applyFont="1" applyBorder="1" applyAlignment="1">
      <alignment horizontal="left"/>
    </xf>
    <xf numFmtId="2" fontId="0" fillId="0" borderId="35" xfId="0" applyNumberFormat="1" applyBorder="1"/>
    <xf numFmtId="0" fontId="59" fillId="0" borderId="73" xfId="0" applyFont="1" applyBorder="1" applyAlignment="1">
      <alignment horizontal="center"/>
    </xf>
    <xf numFmtId="0" fontId="0" fillId="0" borderId="36" xfId="0" applyBorder="1" applyAlignment="1">
      <alignment horizontal="center"/>
    </xf>
    <xf numFmtId="0" fontId="60" fillId="0" borderId="29" xfId="0" applyFont="1" applyBorder="1"/>
    <xf numFmtId="2" fontId="85" fillId="0" borderId="13" xfId="0" applyNumberFormat="1" applyFont="1" applyBorder="1" applyAlignment="1">
      <alignment horizontal="left"/>
    </xf>
    <xf numFmtId="0" fontId="53" fillId="0" borderId="4" xfId="0" applyFont="1" applyBorder="1" applyAlignment="1">
      <alignment horizontal="left" vertical="center"/>
    </xf>
    <xf numFmtId="0" fontId="53" fillId="0" borderId="4" xfId="0" applyFont="1" applyBorder="1" applyAlignment="1">
      <alignment horizontal="left" vertical="center"/>
    </xf>
    <xf numFmtId="0" fontId="53" fillId="0" borderId="4" xfId="0" applyFont="1" applyBorder="1" applyAlignment="1">
      <alignment horizontal="left" vertical="center"/>
    </xf>
    <xf numFmtId="2" fontId="0" fillId="13" borderId="22" xfId="0" applyNumberFormat="1" applyFill="1" applyBorder="1"/>
    <xf numFmtId="0" fontId="61" fillId="0" borderId="0" xfId="0" applyFont="1" applyFill="1" applyBorder="1" applyAlignment="1">
      <alignment horizontal="center" vertical="center"/>
    </xf>
    <xf numFmtId="0" fontId="62" fillId="0" borderId="0" xfId="0" applyFont="1" applyBorder="1" applyAlignment="1">
      <alignment horizontal="left" vertical="center"/>
    </xf>
    <xf numFmtId="0" fontId="82" fillId="0" borderId="0" xfId="0" applyFont="1" applyBorder="1" applyAlignment="1">
      <alignment horizontal="center"/>
    </xf>
    <xf numFmtId="0" fontId="60" fillId="0" borderId="0" xfId="0" applyFont="1" applyBorder="1"/>
    <xf numFmtId="2" fontId="85" fillId="0" borderId="0" xfId="0" applyNumberFormat="1" applyFont="1" applyBorder="1" applyAlignment="1">
      <alignment horizontal="left"/>
    </xf>
    <xf numFmtId="0" fontId="1" fillId="0" borderId="13" xfId="0" applyFont="1" applyBorder="1" applyAlignment="1">
      <alignment horizontal="center"/>
    </xf>
    <xf numFmtId="2" fontId="56" fillId="0" borderId="2" xfId="2" applyNumberFormat="1" applyFont="1" applyFill="1" applyBorder="1" applyAlignment="1">
      <alignment horizontal="center"/>
    </xf>
    <xf numFmtId="0" fontId="53" fillId="3" borderId="2" xfId="0" applyFont="1" applyFill="1" applyBorder="1"/>
    <xf numFmtId="0" fontId="78" fillId="4" borderId="1" xfId="0" applyFont="1" applyFill="1" applyBorder="1" applyAlignment="1">
      <alignment horizontal="center" vertical="center"/>
    </xf>
    <xf numFmtId="0" fontId="31" fillId="0" borderId="2" xfId="0" applyFont="1" applyBorder="1" applyAlignment="1">
      <alignment horizontal="center"/>
    </xf>
    <xf numFmtId="0" fontId="53" fillId="0" borderId="4" xfId="0" applyFont="1" applyBorder="1" applyAlignment="1">
      <alignment horizontal="left" vertical="center"/>
    </xf>
    <xf numFmtId="0" fontId="53" fillId="0" borderId="4" xfId="0" applyFont="1" applyBorder="1" applyAlignment="1">
      <alignment horizontal="left" vertical="center"/>
    </xf>
    <xf numFmtId="0" fontId="32" fillId="0" borderId="2" xfId="0" applyFont="1" applyBorder="1" applyAlignment="1">
      <alignment horizontal="center"/>
    </xf>
    <xf numFmtId="0" fontId="54" fillId="0" borderId="34" xfId="0" applyFont="1" applyBorder="1" applyAlignment="1">
      <alignment horizontal="center"/>
    </xf>
    <xf numFmtId="0" fontId="54" fillId="4" borderId="37" xfId="0" applyFont="1" applyFill="1" applyBorder="1" applyAlignment="1">
      <alignment horizontal="center"/>
    </xf>
    <xf numFmtId="0" fontId="53" fillId="0" borderId="34" xfId="0" applyFont="1" applyBorder="1" applyAlignment="1">
      <alignment horizontal="center"/>
    </xf>
    <xf numFmtId="0" fontId="53" fillId="4" borderId="37" xfId="0" applyFont="1" applyFill="1" applyBorder="1" applyAlignment="1">
      <alignment horizontal="center"/>
    </xf>
    <xf numFmtId="0" fontId="53" fillId="0" borderId="34" xfId="0" applyFont="1" applyBorder="1" applyAlignment="1">
      <alignment horizontal="center" vertical="center"/>
    </xf>
    <xf numFmtId="0" fontId="53" fillId="4" borderId="37" xfId="0" applyFont="1" applyFill="1" applyBorder="1" applyAlignment="1">
      <alignment horizontal="center" vertical="center"/>
    </xf>
    <xf numFmtId="0" fontId="2" fillId="0" borderId="34" xfId="0" applyFont="1" applyBorder="1" applyAlignment="1">
      <alignment horizontal="center"/>
    </xf>
    <xf numFmtId="0" fontId="2" fillId="4" borderId="37" xfId="0" applyFont="1" applyFill="1" applyBorder="1" applyAlignment="1">
      <alignment horizontal="center"/>
    </xf>
    <xf numFmtId="0" fontId="1" fillId="0" borderId="34" xfId="0" applyFont="1" applyBorder="1" applyAlignment="1">
      <alignment horizontal="center"/>
    </xf>
    <xf numFmtId="0" fontId="1" fillId="4" borderId="37" xfId="0" applyFont="1" applyFill="1" applyBorder="1" applyAlignment="1">
      <alignment horizontal="center"/>
    </xf>
    <xf numFmtId="0" fontId="2" fillId="0" borderId="34" xfId="0" applyFont="1" applyFill="1" applyBorder="1" applyAlignment="1">
      <alignment horizontal="center"/>
    </xf>
    <xf numFmtId="0" fontId="2" fillId="0" borderId="37" xfId="0" applyFont="1" applyFill="1" applyBorder="1" applyAlignment="1">
      <alignment horizontal="center"/>
    </xf>
    <xf numFmtId="0" fontId="2" fillId="0" borderId="27" xfId="0" applyFont="1" applyFill="1" applyBorder="1" applyAlignment="1">
      <alignment horizontal="center"/>
    </xf>
    <xf numFmtId="0" fontId="2" fillId="0" borderId="5" xfId="0" applyFont="1" applyFill="1" applyBorder="1" applyAlignment="1">
      <alignment horizontal="center"/>
    </xf>
    <xf numFmtId="0" fontId="54" fillId="0" borderId="38" xfId="0" applyFont="1" applyBorder="1" applyAlignment="1">
      <alignment horizontal="center"/>
    </xf>
    <xf numFmtId="0" fontId="54" fillId="0" borderId="0" xfId="0" applyFont="1" applyBorder="1"/>
    <xf numFmtId="0" fontId="54" fillId="0" borderId="30" xfId="0" applyFont="1" applyBorder="1"/>
    <xf numFmtId="0" fontId="53" fillId="0" borderId="24" xfId="0" applyFont="1" applyBorder="1"/>
    <xf numFmtId="0" fontId="53" fillId="0" borderId="15" xfId="0" applyFont="1" applyBorder="1"/>
    <xf numFmtId="0" fontId="33" fillId="0" borderId="8" xfId="0" applyFont="1" applyBorder="1" applyAlignment="1">
      <alignment horizontal="center"/>
    </xf>
    <xf numFmtId="2" fontId="0" fillId="0" borderId="22" xfId="0" applyNumberFormat="1" applyFont="1" applyBorder="1"/>
    <xf numFmtId="0" fontId="0" fillId="0" borderId="35" xfId="0" applyBorder="1" applyAlignment="1">
      <alignment horizontal="right"/>
    </xf>
    <xf numFmtId="2" fontId="0" fillId="0" borderId="35" xfId="0" applyNumberFormat="1" applyBorder="1" applyAlignment="1">
      <alignment horizontal="right"/>
    </xf>
    <xf numFmtId="0" fontId="0" fillId="0" borderId="36" xfId="0" applyBorder="1" applyAlignment="1">
      <alignment horizontal="right"/>
    </xf>
    <xf numFmtId="2" fontId="82" fillId="0" borderId="35" xfId="0" applyNumberFormat="1" applyFont="1" applyBorder="1" applyAlignment="1">
      <alignment horizontal="left"/>
    </xf>
    <xf numFmtId="0" fontId="82" fillId="0" borderId="39" xfId="0" applyFont="1" applyBorder="1" applyAlignment="1">
      <alignment horizontal="center"/>
    </xf>
    <xf numFmtId="0" fontId="60" fillId="0" borderId="7" xfId="0" applyFont="1" applyBorder="1"/>
    <xf numFmtId="2" fontId="86" fillId="0" borderId="40" xfId="0" applyNumberFormat="1" applyFont="1" applyBorder="1" applyAlignment="1">
      <alignment horizontal="left"/>
    </xf>
    <xf numFmtId="0" fontId="53" fillId="0" borderId="41" xfId="0" applyFont="1" applyBorder="1" applyAlignment="1">
      <alignment horizontal="center"/>
    </xf>
    <xf numFmtId="0" fontId="53" fillId="0" borderId="42" xfId="0" applyFont="1" applyBorder="1" applyAlignment="1">
      <alignment horizontal="center"/>
    </xf>
    <xf numFmtId="0" fontId="53" fillId="0" borderId="43" xfId="0" applyFont="1" applyBorder="1" applyAlignment="1">
      <alignment horizontal="center"/>
    </xf>
    <xf numFmtId="0" fontId="35" fillId="0" borderId="1" xfId="0" applyFont="1" applyFill="1" applyBorder="1" applyAlignment="1">
      <alignment horizontal="center"/>
    </xf>
    <xf numFmtId="0" fontId="79" fillId="0" borderId="22" xfId="0" applyFont="1" applyBorder="1"/>
    <xf numFmtId="0" fontId="87" fillId="0" borderId="22" xfId="0" applyFont="1" applyBorder="1" applyAlignment="1">
      <alignment horizontal="right"/>
    </xf>
    <xf numFmtId="2" fontId="79" fillId="13" borderId="22" xfId="0" applyNumberFormat="1" applyFont="1" applyFill="1" applyBorder="1"/>
    <xf numFmtId="2" fontId="84" fillId="0" borderId="40" xfId="0" applyNumberFormat="1" applyFont="1" applyBorder="1" applyAlignment="1">
      <alignment horizontal="left"/>
    </xf>
    <xf numFmtId="0" fontId="88" fillId="0" borderId="2" xfId="0" applyFont="1" applyBorder="1"/>
    <xf numFmtId="0" fontId="89" fillId="0" borderId="0" xfId="0" applyFont="1"/>
    <xf numFmtId="0" fontId="90" fillId="0" borderId="2" xfId="0" applyFont="1" applyBorder="1"/>
    <xf numFmtId="0" fontId="90" fillId="0" borderId="2" xfId="0" applyFont="1" applyBorder="1" applyAlignment="1">
      <alignment vertical="center" wrapText="1"/>
    </xf>
    <xf numFmtId="0" fontId="90" fillId="0" borderId="2" xfId="0" applyFont="1" applyBorder="1" applyAlignment="1">
      <alignment horizontal="left"/>
    </xf>
    <xf numFmtId="0" fontId="91" fillId="0" borderId="2" xfId="1" applyFont="1" applyBorder="1" applyAlignment="1" applyProtection="1">
      <alignment vertical="center" wrapText="1"/>
    </xf>
    <xf numFmtId="0" fontId="92" fillId="0" borderId="0" xfId="0" applyFont="1" applyBorder="1"/>
    <xf numFmtId="0" fontId="92" fillId="0" borderId="2" xfId="0" applyFont="1" applyBorder="1" applyAlignment="1">
      <alignment horizontal="center"/>
    </xf>
    <xf numFmtId="0" fontId="37" fillId="0" borderId="2" xfId="0" applyFont="1" applyBorder="1" applyAlignment="1">
      <alignment horizontal="center"/>
    </xf>
    <xf numFmtId="0" fontId="53" fillId="2" borderId="10" xfId="0" applyFont="1" applyFill="1" applyBorder="1" applyAlignment="1">
      <alignment horizontal="left"/>
    </xf>
    <xf numFmtId="0" fontId="53" fillId="0" borderId="2" xfId="0" applyFont="1" applyBorder="1" applyAlignment="1">
      <alignment vertical="center"/>
    </xf>
    <xf numFmtId="0" fontId="1" fillId="0" borderId="2" xfId="0" applyFont="1" applyBorder="1" applyAlignment="1"/>
    <xf numFmtId="0" fontId="37" fillId="0" borderId="2" xfId="0" applyFont="1" applyFill="1" applyBorder="1" applyAlignment="1">
      <alignment horizontal="center" vertical="center"/>
    </xf>
    <xf numFmtId="0" fontId="2" fillId="0" borderId="13" xfId="0" applyFont="1" applyFill="1" applyBorder="1" applyAlignment="1">
      <alignment horizontal="center"/>
    </xf>
    <xf numFmtId="0" fontId="2" fillId="0" borderId="13" xfId="0" applyFont="1" applyFill="1" applyBorder="1" applyAlignment="1"/>
    <xf numFmtId="0" fontId="1" fillId="0" borderId="2" xfId="0" applyFont="1" applyFill="1" applyBorder="1" applyAlignment="1"/>
    <xf numFmtId="49" fontId="37" fillId="0" borderId="2" xfId="0" applyNumberFormat="1" applyFont="1" applyFill="1" applyBorder="1" applyAlignment="1">
      <alignment horizontal="center"/>
    </xf>
    <xf numFmtId="0" fontId="93" fillId="0" borderId="0" xfId="0" applyFont="1" applyAlignment="1">
      <alignment horizontal="left"/>
    </xf>
    <xf numFmtId="0" fontId="93" fillId="0" borderId="0" xfId="0" applyFont="1"/>
    <xf numFmtId="0" fontId="89" fillId="0" borderId="0" xfId="0" applyFont="1" applyBorder="1" applyAlignment="1">
      <alignment vertical="center" wrapText="1"/>
    </xf>
    <xf numFmtId="0" fontId="69" fillId="0" borderId="0" xfId="0" applyFont="1" applyAlignment="1">
      <alignment vertical="center"/>
    </xf>
    <xf numFmtId="0" fontId="94" fillId="0" borderId="0" xfId="0" applyFont="1"/>
    <xf numFmtId="0" fontId="89" fillId="0" borderId="0" xfId="0" applyFont="1" applyBorder="1" applyAlignment="1"/>
    <xf numFmtId="0" fontId="95" fillId="0" borderId="0" xfId="1" applyFont="1" applyBorder="1" applyAlignment="1" applyProtection="1"/>
    <xf numFmtId="0" fontId="93" fillId="0" borderId="0" xfId="0" applyFont="1" applyAlignment="1"/>
    <xf numFmtId="0" fontId="54" fillId="0" borderId="29" xfId="0" applyFont="1" applyBorder="1" applyAlignment="1">
      <alignment horizontal="center"/>
    </xf>
    <xf numFmtId="0" fontId="53" fillId="0" borderId="13" xfId="0" applyFont="1" applyBorder="1" applyAlignment="1">
      <alignment horizontal="center"/>
    </xf>
    <xf numFmtId="0" fontId="53" fillId="0" borderId="32" xfId="0" applyFont="1" applyBorder="1" applyAlignment="1">
      <alignment horizontal="center"/>
    </xf>
    <xf numFmtId="0" fontId="53" fillId="2" borderId="2" xfId="0" applyFont="1" applyFill="1" applyBorder="1" applyAlignment="1">
      <alignment horizontal="center"/>
    </xf>
    <xf numFmtId="0" fontId="71" fillId="0" borderId="4" xfId="0" applyFont="1" applyBorder="1" applyAlignment="1">
      <alignment horizontal="center" vertical="center"/>
    </xf>
    <xf numFmtId="0" fontId="96" fillId="0" borderId="0" xfId="0" applyFont="1" applyBorder="1"/>
    <xf numFmtId="49" fontId="2" fillId="0" borderId="2" xfId="0" applyNumberFormat="1" applyFont="1" applyFill="1" applyBorder="1" applyAlignment="1">
      <alignment horizontal="center" vertical="center"/>
    </xf>
    <xf numFmtId="0" fontId="37" fillId="0" borderId="2" xfId="0" applyFont="1" applyFill="1" applyBorder="1" applyAlignment="1">
      <alignment horizontal="center"/>
    </xf>
    <xf numFmtId="0" fontId="97" fillId="0" borderId="0" xfId="0" applyFont="1" applyBorder="1" applyAlignment="1">
      <alignment horizontal="center" vertical="center"/>
    </xf>
    <xf numFmtId="0" fontId="97" fillId="0" borderId="2" xfId="0" applyFont="1" applyBorder="1" applyAlignment="1">
      <alignment horizontal="center" vertical="center"/>
    </xf>
    <xf numFmtId="0" fontId="97" fillId="0" borderId="2" xfId="0" applyFont="1" applyBorder="1" applyAlignment="1">
      <alignment horizontal="center"/>
    </xf>
    <xf numFmtId="0" fontId="97" fillId="0" borderId="0" xfId="0" applyFont="1" applyBorder="1" applyAlignment="1">
      <alignment horizontal="center"/>
    </xf>
    <xf numFmtId="0" fontId="98" fillId="0" borderId="2" xfId="0" applyFont="1" applyBorder="1"/>
    <xf numFmtId="0" fontId="88" fillId="0" borderId="13" xfId="0" applyFont="1" applyBorder="1"/>
    <xf numFmtId="0" fontId="88" fillId="0" borderId="4" xfId="0" applyFont="1" applyBorder="1"/>
    <xf numFmtId="0" fontId="13" fillId="0" borderId="8" xfId="0" applyFont="1" applyBorder="1" applyAlignment="1"/>
    <xf numFmtId="0" fontId="54" fillId="0" borderId="4" xfId="0" applyFont="1" applyBorder="1" applyAlignment="1">
      <alignment wrapText="1"/>
    </xf>
    <xf numFmtId="0" fontId="2" fillId="0" borderId="10" xfId="0" applyFont="1" applyBorder="1" applyAlignment="1"/>
    <xf numFmtId="14" fontId="58" fillId="0" borderId="0" xfId="0" applyNumberFormat="1" applyFont="1" applyAlignment="1">
      <alignment horizontal="center"/>
    </xf>
    <xf numFmtId="0" fontId="53" fillId="5" borderId="10" xfId="0" applyFont="1" applyFill="1" applyBorder="1" applyAlignment="1">
      <alignment horizontal="center"/>
    </xf>
    <xf numFmtId="0" fontId="99" fillId="0" borderId="1" xfId="0" applyFont="1" applyFill="1" applyBorder="1" applyAlignment="1">
      <alignment horizontal="center"/>
    </xf>
    <xf numFmtId="0" fontId="42" fillId="0" borderId="1" xfId="0" applyFont="1" applyFill="1" applyBorder="1" applyAlignment="1">
      <alignment horizontal="center"/>
    </xf>
    <xf numFmtId="0" fontId="53" fillId="14" borderId="10" xfId="0" applyFont="1" applyFill="1" applyBorder="1" applyAlignment="1">
      <alignment horizontal="left" vertical="center"/>
    </xf>
    <xf numFmtId="0" fontId="1" fillId="14" borderId="2" xfId="0" applyNumberFormat="1" applyFont="1" applyFill="1" applyBorder="1" applyAlignment="1" applyProtection="1">
      <alignment horizontal="center" vertical="center" wrapText="1"/>
      <protection locked="0"/>
    </xf>
    <xf numFmtId="0" fontId="42" fillId="0" borderId="1" xfId="0" applyFont="1" applyFill="1" applyBorder="1" applyAlignment="1">
      <alignment horizontal="center" vertical="center"/>
    </xf>
    <xf numFmtId="0" fontId="42" fillId="14" borderId="2" xfId="0" applyFont="1" applyFill="1" applyBorder="1" applyAlignment="1">
      <alignment horizontal="center" vertical="center"/>
    </xf>
    <xf numFmtId="0" fontId="37" fillId="14" borderId="1" xfId="0" applyFont="1" applyFill="1" applyBorder="1" applyAlignment="1">
      <alignment horizontal="center"/>
    </xf>
    <xf numFmtId="2" fontId="89" fillId="0" borderId="1" xfId="0" applyNumberFormat="1" applyFont="1" applyBorder="1"/>
    <xf numFmtId="0" fontId="42" fillId="0" borderId="2" xfId="0" applyFont="1" applyBorder="1" applyAlignment="1">
      <alignment horizontal="center"/>
    </xf>
    <xf numFmtId="0" fontId="43" fillId="0" borderId="8" xfId="0" applyFont="1" applyBorder="1" applyAlignment="1"/>
    <xf numFmtId="0" fontId="42" fillId="0" borderId="2" xfId="0" applyFont="1" applyFill="1" applyBorder="1" applyAlignment="1">
      <alignment horizontal="center"/>
    </xf>
    <xf numFmtId="0" fontId="2" fillId="0" borderId="2" xfId="0" applyFont="1" applyFill="1" applyBorder="1" applyAlignment="1"/>
    <xf numFmtId="0" fontId="100" fillId="0" borderId="0" xfId="0" applyFont="1"/>
    <xf numFmtId="0" fontId="90" fillId="0" borderId="0" xfId="0" applyFont="1"/>
    <xf numFmtId="0" fontId="88" fillId="0" borderId="0" xfId="0" applyFont="1"/>
    <xf numFmtId="0" fontId="92" fillId="0" borderId="0" xfId="0" applyFont="1"/>
    <xf numFmtId="0" fontId="89" fillId="0" borderId="2" xfId="0" applyFont="1" applyBorder="1" applyAlignment="1">
      <alignment horizontal="center"/>
    </xf>
    <xf numFmtId="0" fontId="89" fillId="0" borderId="2" xfId="0" applyFont="1" applyBorder="1"/>
    <xf numFmtId="0" fontId="92" fillId="0" borderId="1" xfId="0" applyFont="1" applyBorder="1"/>
    <xf numFmtId="2" fontId="92" fillId="0" borderId="2" xfId="0" applyNumberFormat="1" applyFont="1" applyBorder="1"/>
    <xf numFmtId="2" fontId="36" fillId="0" borderId="22" xfId="0" applyNumberFormat="1" applyFont="1" applyBorder="1"/>
    <xf numFmtId="2" fontId="89" fillId="0" borderId="2" xfId="0" applyNumberFormat="1" applyFont="1" applyBorder="1" applyAlignment="1">
      <alignment horizontal="center"/>
    </xf>
    <xf numFmtId="0" fontId="89" fillId="0" borderId="1" xfId="0" applyFont="1" applyBorder="1"/>
    <xf numFmtId="0" fontId="89" fillId="5" borderId="1" xfId="0" applyFont="1" applyFill="1" applyBorder="1"/>
    <xf numFmtId="0" fontId="89" fillId="3" borderId="1" xfId="0" applyFont="1" applyFill="1" applyBorder="1"/>
    <xf numFmtId="2" fontId="89" fillId="0" borderId="2" xfId="0" applyNumberFormat="1" applyFont="1" applyBorder="1"/>
    <xf numFmtId="0" fontId="89" fillId="4" borderId="1" xfId="0" applyFont="1" applyFill="1" applyBorder="1"/>
    <xf numFmtId="0" fontId="89" fillId="2" borderId="1" xfId="0" applyFont="1" applyFill="1" applyBorder="1"/>
    <xf numFmtId="0" fontId="101" fillId="0" borderId="2" xfId="0" applyFont="1" applyBorder="1"/>
    <xf numFmtId="2" fontId="89" fillId="0" borderId="13" xfId="0" applyNumberFormat="1" applyFont="1" applyBorder="1"/>
    <xf numFmtId="2" fontId="88" fillId="0" borderId="2" xfId="0" applyNumberFormat="1" applyFont="1" applyBorder="1"/>
    <xf numFmtId="2" fontId="98" fillId="0" borderId="2" xfId="0" applyNumberFormat="1" applyFont="1" applyBorder="1"/>
    <xf numFmtId="165" fontId="88" fillId="0" borderId="2" xfId="0" applyNumberFormat="1" applyFont="1" applyBorder="1"/>
    <xf numFmtId="2" fontId="98" fillId="0" borderId="2" xfId="0" applyNumberFormat="1" applyFont="1" applyBorder="1" applyAlignment="1">
      <alignment horizontal="center"/>
    </xf>
    <xf numFmtId="2" fontId="89" fillId="0" borderId="2" xfId="0" applyNumberFormat="1" applyFont="1" applyBorder="1" applyAlignment="1">
      <alignment horizontal="center" vertical="center"/>
    </xf>
    <xf numFmtId="2" fontId="92" fillId="0" borderId="2" xfId="0" applyNumberFormat="1" applyFont="1" applyBorder="1" applyAlignment="1">
      <alignment horizontal="left"/>
    </xf>
    <xf numFmtId="0" fontId="89" fillId="0" borderId="21" xfId="0" applyFont="1" applyBorder="1" applyAlignment="1">
      <alignment horizontal="center"/>
    </xf>
    <xf numFmtId="0" fontId="89" fillId="0" borderId="22" xfId="0" applyFont="1" applyBorder="1"/>
    <xf numFmtId="0" fontId="92" fillId="0" borderId="35" xfId="0" applyFont="1" applyBorder="1"/>
    <xf numFmtId="2" fontId="92" fillId="0" borderId="22" xfId="0" applyNumberFormat="1" applyFont="1" applyBorder="1"/>
    <xf numFmtId="2" fontId="89" fillId="0" borderId="22" xfId="0" applyNumberFormat="1" applyFont="1" applyBorder="1" applyAlignment="1">
      <alignment horizontal="center" vertical="center"/>
    </xf>
    <xf numFmtId="0" fontId="89" fillId="0" borderId="35" xfId="0" applyFont="1" applyBorder="1"/>
    <xf numFmtId="0" fontId="89" fillId="5" borderId="35" xfId="0" applyFont="1" applyFill="1" applyBorder="1"/>
    <xf numFmtId="2" fontId="89" fillId="0" borderId="22" xfId="0" applyNumberFormat="1" applyFont="1" applyBorder="1"/>
    <xf numFmtId="2" fontId="92" fillId="0" borderId="22" xfId="0" applyNumberFormat="1" applyFont="1" applyBorder="1" applyAlignment="1">
      <alignment horizontal="left"/>
    </xf>
    <xf numFmtId="0" fontId="89" fillId="3" borderId="35" xfId="0" applyFont="1" applyFill="1" applyBorder="1"/>
    <xf numFmtId="0" fontId="89" fillId="4" borderId="35" xfId="0" applyFont="1" applyFill="1" applyBorder="1"/>
    <xf numFmtId="0" fontId="89" fillId="2" borderId="35" xfId="0" applyFont="1" applyFill="1" applyBorder="1"/>
    <xf numFmtId="0" fontId="89" fillId="0" borderId="22" xfId="0" applyFont="1" applyBorder="1" applyAlignment="1">
      <alignment horizontal="center"/>
    </xf>
    <xf numFmtId="0" fontId="101" fillId="0" borderId="22" xfId="0" applyFont="1" applyBorder="1"/>
    <xf numFmtId="2" fontId="89" fillId="0" borderId="26" xfId="0" applyNumberFormat="1" applyFont="1" applyBorder="1"/>
    <xf numFmtId="0" fontId="88" fillId="0" borderId="22" xfId="0" applyFont="1" applyBorder="1"/>
    <xf numFmtId="2" fontId="98" fillId="0" borderId="22" xfId="0" applyNumberFormat="1" applyFont="1" applyBorder="1" applyAlignment="1">
      <alignment horizontal="center"/>
    </xf>
    <xf numFmtId="2" fontId="98" fillId="0" borderId="22" xfId="0" applyNumberFormat="1" applyFont="1" applyBorder="1"/>
    <xf numFmtId="165" fontId="88" fillId="0" borderId="22" xfId="0" applyNumberFormat="1" applyFont="1" applyBorder="1"/>
    <xf numFmtId="0" fontId="88" fillId="0" borderId="25" xfId="0" applyFont="1" applyBorder="1"/>
    <xf numFmtId="2" fontId="101" fillId="0" borderId="22" xfId="0" applyNumberFormat="1" applyFont="1" applyBorder="1"/>
    <xf numFmtId="0" fontId="89" fillId="9" borderId="0" xfId="0" applyFont="1" applyFill="1"/>
    <xf numFmtId="164" fontId="88" fillId="0" borderId="22" xfId="0" applyNumberFormat="1" applyFont="1" applyBorder="1"/>
    <xf numFmtId="2" fontId="102" fillId="4" borderId="22" xfId="0" applyNumberFormat="1" applyFont="1" applyFill="1" applyBorder="1" applyAlignment="1">
      <alignment horizontal="left"/>
    </xf>
    <xf numFmtId="2" fontId="36" fillId="0" borderId="35" xfId="0" applyNumberFormat="1" applyFont="1" applyBorder="1"/>
    <xf numFmtId="2" fontId="99" fillId="4" borderId="35" xfId="0" applyNumberFormat="1" applyFont="1" applyFill="1" applyBorder="1" applyAlignment="1">
      <alignment horizontal="left"/>
    </xf>
    <xf numFmtId="2" fontId="89" fillId="0" borderId="35" xfId="0" applyNumberFormat="1" applyFont="1" applyBorder="1" applyAlignment="1">
      <alignment horizontal="center" vertical="center"/>
    </xf>
    <xf numFmtId="2" fontId="99" fillId="4" borderId="1" xfId="0" applyNumberFormat="1" applyFont="1" applyFill="1" applyBorder="1" applyAlignment="1">
      <alignment horizontal="left" vertical="center"/>
    </xf>
    <xf numFmtId="2" fontId="92" fillId="0" borderId="35" xfId="0" applyNumberFormat="1" applyFont="1" applyBorder="1"/>
    <xf numFmtId="2" fontId="89" fillId="0" borderId="35" xfId="0" applyNumberFormat="1" applyFont="1" applyBorder="1"/>
    <xf numFmtId="2" fontId="103" fillId="4" borderId="22" xfId="0" applyNumberFormat="1" applyFont="1" applyFill="1" applyBorder="1" applyAlignment="1">
      <alignment horizontal="left"/>
    </xf>
    <xf numFmtId="0" fontId="89" fillId="0" borderId="25" xfId="0" applyFont="1" applyBorder="1"/>
    <xf numFmtId="0" fontId="92" fillId="0" borderId="36" xfId="0" applyFont="1" applyBorder="1"/>
    <xf numFmtId="2" fontId="89" fillId="0" borderId="35" xfId="0" applyNumberFormat="1" applyFont="1" applyBorder="1" applyAlignment="1">
      <alignment horizontal="right" vertical="center"/>
    </xf>
    <xf numFmtId="2" fontId="99" fillId="4" borderId="35" xfId="0" applyNumberFormat="1" applyFont="1" applyFill="1" applyBorder="1" applyAlignment="1">
      <alignment horizontal="left" vertical="center"/>
    </xf>
    <xf numFmtId="2" fontId="99" fillId="4" borderId="22" xfId="0" applyNumberFormat="1" applyFont="1" applyFill="1" applyBorder="1" applyAlignment="1">
      <alignment horizontal="left"/>
    </xf>
    <xf numFmtId="2" fontId="104" fillId="4" borderId="22" xfId="0" applyNumberFormat="1" applyFont="1" applyFill="1" applyBorder="1" applyAlignment="1">
      <alignment horizontal="left"/>
    </xf>
    <xf numFmtId="0" fontId="92" fillId="0" borderId="11" xfId="0" applyFont="1" applyBorder="1"/>
    <xf numFmtId="2" fontId="99" fillId="14" borderId="1" xfId="0" applyNumberFormat="1" applyFont="1" applyFill="1" applyBorder="1" applyAlignment="1">
      <alignment horizontal="left" vertical="center"/>
    </xf>
    <xf numFmtId="2" fontId="89" fillId="0" borderId="2" xfId="0" applyNumberFormat="1" applyFont="1" applyBorder="1" applyAlignment="1">
      <alignment horizontal="left"/>
    </xf>
    <xf numFmtId="0" fontId="89" fillId="0" borderId="2" xfId="0" applyFont="1" applyBorder="1" applyAlignment="1">
      <alignment horizontal="left"/>
    </xf>
    <xf numFmtId="2" fontId="92" fillId="0" borderId="2" xfId="0" applyNumberFormat="1" applyFont="1" applyBorder="1" applyAlignment="1">
      <alignment horizontal="right"/>
    </xf>
    <xf numFmtId="2" fontId="89" fillId="14" borderId="11" xfId="0" applyNumberFormat="1" applyFont="1" applyFill="1" applyBorder="1"/>
    <xf numFmtId="0" fontId="40" fillId="0" borderId="1" xfId="0" applyFont="1" applyBorder="1" applyAlignment="1"/>
    <xf numFmtId="2" fontId="99" fillId="14" borderId="2" xfId="0" applyNumberFormat="1" applyFont="1" applyFill="1" applyBorder="1" applyAlignment="1">
      <alignment horizontal="left"/>
    </xf>
    <xf numFmtId="2" fontId="105" fillId="4" borderId="2" xfId="0" applyNumberFormat="1" applyFont="1" applyFill="1" applyBorder="1" applyAlignment="1">
      <alignment horizontal="left"/>
    </xf>
    <xf numFmtId="2" fontId="88" fillId="0" borderId="2" xfId="0" applyNumberFormat="1" applyFont="1" applyBorder="1" applyAlignment="1">
      <alignment horizontal="center"/>
    </xf>
    <xf numFmtId="14" fontId="88" fillId="0" borderId="0" xfId="0" applyNumberFormat="1" applyFont="1"/>
    <xf numFmtId="0" fontId="106" fillId="0" borderId="0" xfId="0" applyFont="1" applyAlignment="1">
      <alignment horizontal="center"/>
    </xf>
    <xf numFmtId="0" fontId="90" fillId="0" borderId="0" xfId="0" applyFont="1" applyAlignment="1"/>
    <xf numFmtId="0" fontId="90" fillId="0" borderId="0" xfId="0" applyFont="1" applyAlignment="1">
      <alignment horizontal="left"/>
    </xf>
    <xf numFmtId="0" fontId="90" fillId="0" borderId="0" xfId="0" applyFont="1" applyAlignment="1">
      <alignment horizontal="left"/>
    </xf>
    <xf numFmtId="0" fontId="53" fillId="0" borderId="4" xfId="0" applyFont="1" applyBorder="1" applyAlignment="1">
      <alignment horizontal="left" vertical="center"/>
    </xf>
    <xf numFmtId="0" fontId="54" fillId="0" borderId="4" xfId="0" applyFont="1" applyBorder="1" applyAlignment="1">
      <alignment horizontal="left" vertical="center" wrapText="1"/>
    </xf>
    <xf numFmtId="0" fontId="54" fillId="0" borderId="4" xfId="0" applyFont="1" applyBorder="1" applyAlignment="1">
      <alignment horizontal="center" vertical="center" wrapText="1"/>
    </xf>
    <xf numFmtId="0" fontId="97" fillId="0" borderId="4" xfId="0" applyFont="1" applyBorder="1" applyAlignment="1">
      <alignment horizontal="center" vertical="center"/>
    </xf>
    <xf numFmtId="0" fontId="53" fillId="0" borderId="4" xfId="0" applyFont="1" applyBorder="1" applyAlignment="1">
      <alignment horizontal="center" vertical="center"/>
    </xf>
    <xf numFmtId="0" fontId="97" fillId="0" borderId="2" xfId="0" applyFont="1" applyBorder="1" applyAlignment="1">
      <alignment horizontal="center" vertical="center"/>
    </xf>
    <xf numFmtId="0" fontId="37" fillId="0" borderId="4" xfId="0" applyFont="1" applyBorder="1" applyAlignment="1">
      <alignment horizontal="left" vertical="center"/>
    </xf>
    <xf numFmtId="0" fontId="37" fillId="0" borderId="4" xfId="0" applyFont="1" applyBorder="1" applyAlignment="1">
      <alignment horizontal="center" vertical="center"/>
    </xf>
    <xf numFmtId="0" fontId="1" fillId="0" borderId="4" xfId="0" applyFont="1" applyBorder="1" applyAlignment="1">
      <alignment horizontal="left" vertical="center"/>
    </xf>
    <xf numFmtId="0" fontId="2" fillId="0" borderId="4" xfId="0" applyFont="1" applyFill="1" applyBorder="1" applyAlignment="1">
      <alignment horizontal="left" vertical="center" wrapText="1"/>
    </xf>
    <xf numFmtId="49" fontId="2" fillId="0" borderId="4" xfId="0" applyNumberFormat="1" applyFont="1" applyFill="1" applyBorder="1" applyAlignment="1">
      <alignment horizontal="center" vertical="center"/>
    </xf>
    <xf numFmtId="0" fontId="60" fillId="0" borderId="4" xfId="0" applyFont="1" applyFill="1" applyBorder="1" applyAlignment="1">
      <alignment horizontal="center" vertical="center"/>
    </xf>
    <xf numFmtId="0" fontId="53" fillId="0" borderId="28" xfId="0" applyFont="1" applyFill="1" applyBorder="1" applyAlignment="1">
      <alignment horizontal="center" vertical="center"/>
    </xf>
    <xf numFmtId="0" fontId="69" fillId="0" borderId="4" xfId="0" applyFont="1" applyBorder="1" applyAlignment="1">
      <alignment horizontal="left" vertical="center"/>
    </xf>
    <xf numFmtId="0" fontId="60" fillId="0" borderId="4" xfId="0" applyFont="1" applyBorder="1" applyAlignment="1">
      <alignment horizontal="left" vertical="center"/>
    </xf>
    <xf numFmtId="0" fontId="53" fillId="0" borderId="4" xfId="0" applyFont="1" applyBorder="1" applyAlignment="1">
      <alignment horizontal="center" vertical="center"/>
    </xf>
    <xf numFmtId="0" fontId="53" fillId="0" borderId="4" xfId="0" applyFont="1" applyBorder="1" applyAlignment="1">
      <alignment horizontal="left" vertical="center"/>
    </xf>
    <xf numFmtId="0" fontId="90" fillId="0" borderId="0" xfId="0" applyFont="1" applyAlignment="1">
      <alignment horizontal="left"/>
    </xf>
    <xf numFmtId="0" fontId="60" fillId="0" borderId="4" xfId="0" applyFont="1" applyFill="1" applyBorder="1" applyAlignment="1">
      <alignment horizontal="center" vertical="center"/>
    </xf>
    <xf numFmtId="0" fontId="60" fillId="0" borderId="4" xfId="0" applyFont="1" applyBorder="1" applyAlignment="1">
      <alignment horizontal="left" vertical="center"/>
    </xf>
    <xf numFmtId="0" fontId="53" fillId="0" borderId="28" xfId="0" applyFont="1" applyFill="1" applyBorder="1" applyAlignment="1">
      <alignment horizontal="center" vertical="center"/>
    </xf>
    <xf numFmtId="2" fontId="33" fillId="0" borderId="11" xfId="2" applyNumberFormat="1" applyFont="1" applyFill="1" applyBorder="1" applyAlignment="1">
      <alignment horizontal="center"/>
    </xf>
    <xf numFmtId="2" fontId="45" fillId="0" borderId="2" xfId="2" applyNumberFormat="1" applyFont="1" applyFill="1" applyBorder="1" applyAlignment="1">
      <alignment horizontal="center"/>
    </xf>
    <xf numFmtId="2" fontId="45" fillId="0" borderId="11" xfId="2" applyNumberFormat="1" applyFont="1" applyFill="1" applyBorder="1" applyAlignment="1">
      <alignment horizontal="center"/>
    </xf>
    <xf numFmtId="0" fontId="1" fillId="14" borderId="2" xfId="0" applyFont="1" applyFill="1" applyBorder="1" applyAlignment="1">
      <alignment horizontal="left" vertical="center"/>
    </xf>
    <xf numFmtId="0" fontId="107" fillId="0" borderId="0" xfId="0" applyFont="1" applyAlignment="1">
      <alignment horizontal="center"/>
    </xf>
    <xf numFmtId="0" fontId="107" fillId="0" borderId="2" xfId="0" applyFont="1" applyBorder="1" applyAlignment="1">
      <alignment horizontal="center"/>
    </xf>
    <xf numFmtId="0" fontId="2" fillId="0" borderId="2" xfId="0" applyFont="1" applyFill="1" applyBorder="1" applyAlignment="1">
      <alignment wrapText="1"/>
    </xf>
    <xf numFmtId="0" fontId="40" fillId="0" borderId="2" xfId="0" applyFont="1" applyFill="1" applyBorder="1" applyAlignment="1">
      <alignment wrapText="1"/>
    </xf>
    <xf numFmtId="0" fontId="16" fillId="0" borderId="8" xfId="0" applyFont="1" applyFill="1" applyBorder="1" applyAlignment="1">
      <alignment horizontal="center" vertical="center" wrapText="1"/>
    </xf>
    <xf numFmtId="0" fontId="88" fillId="0" borderId="2" xfId="0" applyFont="1" applyFill="1" applyBorder="1" applyAlignment="1">
      <alignment horizontal="center"/>
    </xf>
    <xf numFmtId="0" fontId="1" fillId="0" borderId="4" xfId="0" applyFont="1" applyFill="1" applyBorder="1" applyAlignment="1"/>
    <xf numFmtId="0" fontId="1" fillId="0" borderId="4" xfId="0" applyFont="1" applyFill="1" applyBorder="1" applyAlignment="1">
      <alignment horizontal="center"/>
    </xf>
    <xf numFmtId="2" fontId="33" fillId="0" borderId="2" xfId="2" applyNumberFormat="1" applyFont="1" applyFill="1" applyBorder="1" applyAlignment="1">
      <alignment horizontal="center"/>
    </xf>
    <xf numFmtId="14" fontId="71" fillId="0" borderId="0" xfId="0" applyNumberFormat="1" applyFont="1" applyFill="1" applyAlignment="1">
      <alignment horizontal="center"/>
    </xf>
    <xf numFmtId="2" fontId="38" fillId="0" borderId="2" xfId="0" applyNumberFormat="1" applyFont="1" applyFill="1" applyBorder="1" applyAlignment="1">
      <alignment horizontal="center" vertical="center"/>
    </xf>
    <xf numFmtId="0" fontId="38" fillId="0" borderId="4" xfId="0" applyNumberFormat="1" applyFont="1" applyFill="1" applyBorder="1" applyAlignment="1" applyProtection="1">
      <alignment horizontal="center" vertical="center" wrapText="1"/>
      <protection locked="0"/>
    </xf>
    <xf numFmtId="164" fontId="89" fillId="0" borderId="2" xfId="0" applyNumberFormat="1" applyFont="1" applyBorder="1"/>
    <xf numFmtId="164" fontId="89" fillId="0" borderId="4" xfId="0" applyNumberFormat="1" applyFont="1" applyBorder="1"/>
    <xf numFmtId="2" fontId="108" fillId="0" borderId="2" xfId="0" applyNumberFormat="1" applyFont="1" applyFill="1" applyBorder="1"/>
    <xf numFmtId="2" fontId="44" fillId="0" borderId="1" xfId="0" applyNumberFormat="1" applyFont="1" applyFill="1" applyBorder="1"/>
    <xf numFmtId="2" fontId="90" fillId="0" borderId="1" xfId="0" applyNumberFormat="1" applyFont="1" applyFill="1" applyBorder="1" applyAlignment="1">
      <alignment horizontal="right" vertical="center"/>
    </xf>
    <xf numFmtId="2" fontId="98" fillId="0" borderId="2" xfId="0" applyNumberFormat="1" applyFont="1" applyFill="1" applyBorder="1"/>
    <xf numFmtId="2" fontId="98" fillId="0" borderId="1" xfId="0" applyNumberFormat="1" applyFont="1" applyFill="1" applyBorder="1"/>
    <xf numFmtId="0" fontId="98" fillId="0" borderId="2" xfId="0" applyFont="1" applyFill="1" applyBorder="1"/>
    <xf numFmtId="0" fontId="36" fillId="14" borderId="2" xfId="0" applyFont="1" applyFill="1" applyBorder="1" applyAlignment="1">
      <alignment horizontal="center" vertical="center"/>
    </xf>
    <xf numFmtId="2" fontId="29" fillId="14" borderId="13" xfId="0" applyNumberFormat="1" applyFont="1" applyFill="1" applyBorder="1" applyAlignment="1">
      <alignment horizontal="center" vertical="center"/>
    </xf>
    <xf numFmtId="0" fontId="1" fillId="0" borderId="2" xfId="0" applyFont="1" applyBorder="1" applyAlignment="1">
      <alignment horizontal="left" vertical="center"/>
    </xf>
    <xf numFmtId="0" fontId="1" fillId="0" borderId="0" xfId="0" applyFont="1" applyFill="1" applyBorder="1" applyAlignment="1"/>
    <xf numFmtId="14" fontId="93" fillId="0" borderId="0" xfId="0" applyNumberFormat="1" applyFont="1" applyFill="1" applyAlignment="1">
      <alignment horizontal="center"/>
    </xf>
    <xf numFmtId="0" fontId="60" fillId="0" borderId="2" xfId="0" applyFont="1" applyBorder="1" applyAlignment="1">
      <alignment horizontal="left" vertical="center"/>
    </xf>
    <xf numFmtId="0" fontId="60" fillId="0" borderId="2" xfId="0" applyFont="1" applyFill="1" applyBorder="1" applyAlignment="1">
      <alignment horizontal="center" vertical="center"/>
    </xf>
    <xf numFmtId="0" fontId="109" fillId="0" borderId="0" xfId="0" applyFont="1"/>
    <xf numFmtId="0" fontId="109" fillId="0" borderId="35" xfId="0" applyFont="1" applyBorder="1" applyAlignment="1">
      <alignment horizontal="right"/>
    </xf>
    <xf numFmtId="2" fontId="109" fillId="0" borderId="35" xfId="0" applyNumberFormat="1" applyFont="1" applyBorder="1" applyAlignment="1">
      <alignment horizontal="right"/>
    </xf>
    <xf numFmtId="0" fontId="33" fillId="0" borderId="1" xfId="0" applyFont="1" applyFill="1" applyBorder="1" applyAlignment="1">
      <alignment horizontal="center"/>
    </xf>
    <xf numFmtId="2" fontId="69" fillId="13" borderId="22" xfId="0" applyNumberFormat="1" applyFont="1" applyFill="1" applyBorder="1"/>
    <xf numFmtId="0" fontId="69" fillId="0" borderId="22" xfId="0" applyFont="1" applyBorder="1"/>
    <xf numFmtId="0" fontId="60" fillId="0" borderId="22" xfId="0" applyFont="1" applyBorder="1" applyAlignment="1">
      <alignment horizontal="right"/>
    </xf>
    <xf numFmtId="2" fontId="94" fillId="0" borderId="35" xfId="0" applyNumberFormat="1" applyFont="1" applyBorder="1" applyAlignment="1">
      <alignment horizontal="center"/>
    </xf>
    <xf numFmtId="2" fontId="109" fillId="0" borderId="22" xfId="0" applyNumberFormat="1" applyFont="1" applyBorder="1"/>
    <xf numFmtId="0" fontId="109" fillId="0" borderId="36" xfId="0" applyFont="1" applyBorder="1" applyAlignment="1">
      <alignment horizontal="right"/>
    </xf>
    <xf numFmtId="2" fontId="94" fillId="0" borderId="22" xfId="0" applyNumberFormat="1" applyFont="1" applyBorder="1" applyAlignment="1">
      <alignment horizontal="center"/>
    </xf>
    <xf numFmtId="2" fontId="82" fillId="0" borderId="40" xfId="0" applyNumberFormat="1" applyFont="1" applyBorder="1" applyAlignment="1">
      <alignment horizontal="left"/>
    </xf>
    <xf numFmtId="0" fontId="53" fillId="0" borderId="3" xfId="0" applyFont="1" applyFill="1" applyBorder="1" applyAlignment="1">
      <alignment horizontal="center" vertical="center"/>
    </xf>
    <xf numFmtId="0" fontId="90" fillId="0" borderId="0" xfId="0" applyFont="1" applyAlignment="1">
      <alignment horizontal="left"/>
    </xf>
    <xf numFmtId="0" fontId="53" fillId="0" borderId="4" xfId="0" applyFont="1" applyBorder="1" applyAlignment="1">
      <alignment horizontal="center" vertical="center"/>
    </xf>
    <xf numFmtId="0" fontId="60" fillId="0" borderId="4"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164" fontId="89" fillId="0" borderId="2" xfId="0" applyNumberFormat="1" applyFont="1" applyFill="1" applyBorder="1"/>
    <xf numFmtId="164" fontId="89" fillId="0" borderId="4" xfId="0" applyNumberFormat="1" applyFont="1" applyFill="1" applyBorder="1"/>
    <xf numFmtId="2" fontId="109" fillId="0" borderId="2" xfId="0" applyNumberFormat="1" applyFont="1" applyBorder="1"/>
    <xf numFmtId="2" fontId="109" fillId="0" borderId="36" xfId="0" applyNumberFormat="1" applyFont="1" applyBorder="1" applyAlignment="1">
      <alignment horizontal="right"/>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90" fillId="0" borderId="0" xfId="0" applyFont="1" applyAlignment="1">
      <alignment horizontal="left"/>
    </xf>
    <xf numFmtId="0" fontId="53" fillId="0" borderId="4" xfId="0" applyFont="1" applyBorder="1" applyAlignment="1">
      <alignment horizontal="center" vertical="center"/>
    </xf>
    <xf numFmtId="0" fontId="61" fillId="0" borderId="28" xfId="0" applyFont="1" applyFill="1" applyBorder="1" applyAlignment="1">
      <alignment horizontal="center" vertical="center"/>
    </xf>
    <xf numFmtId="0" fontId="62" fillId="0" borderId="4" xfId="0" applyFont="1" applyBorder="1" applyAlignment="1">
      <alignment horizontal="left"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0" fontId="53" fillId="0" borderId="28" xfId="0" applyFont="1" applyFill="1" applyBorder="1" applyAlignment="1">
      <alignment horizontal="center" vertical="center"/>
    </xf>
    <xf numFmtId="2" fontId="94" fillId="0" borderId="35" xfId="0" applyNumberFormat="1" applyFont="1" applyBorder="1" applyAlignment="1">
      <alignment horizontal="right"/>
    </xf>
    <xf numFmtId="0" fontId="61" fillId="0" borderId="24" xfId="0" applyFont="1" applyFill="1" applyBorder="1" applyAlignment="1">
      <alignment horizontal="center" vertical="center"/>
    </xf>
    <xf numFmtId="0" fontId="62" fillId="0" borderId="15" xfId="0" applyFont="1" applyBorder="1" applyAlignment="1">
      <alignment horizontal="left" vertical="center"/>
    </xf>
    <xf numFmtId="0" fontId="33" fillId="0" borderId="39" xfId="0" applyFont="1" applyBorder="1" applyAlignment="1">
      <alignment horizontal="center"/>
    </xf>
    <xf numFmtId="0" fontId="60" fillId="0" borderId="15" xfId="0" applyFont="1" applyBorder="1"/>
    <xf numFmtId="2" fontId="94" fillId="0" borderId="25" xfId="0" applyNumberFormat="1" applyFont="1" applyBorder="1" applyAlignment="1">
      <alignment horizontal="right"/>
    </xf>
    <xf numFmtId="0" fontId="62" fillId="0" borderId="4" xfId="0" applyFont="1" applyBorder="1" applyAlignment="1">
      <alignment horizontal="left" vertical="center"/>
    </xf>
    <xf numFmtId="0" fontId="90" fillId="0" borderId="0" xfId="0" applyFont="1" applyAlignment="1">
      <alignment horizontal="left"/>
    </xf>
    <xf numFmtId="0" fontId="53" fillId="0" borderId="4" xfId="0" applyFont="1" applyBorder="1" applyAlignment="1">
      <alignment horizontal="center" vertical="center"/>
    </xf>
    <xf numFmtId="0" fontId="61" fillId="0" borderId="28" xfId="0" applyFont="1" applyFill="1" applyBorder="1" applyAlignment="1">
      <alignment horizontal="center"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62" fillId="0" borderId="4" xfId="0" applyFont="1" applyBorder="1" applyAlignment="1">
      <alignment horizontal="left" vertical="center"/>
    </xf>
    <xf numFmtId="0" fontId="53" fillId="0" borderId="28"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0" fontId="14" fillId="0" borderId="0" xfId="0" applyFont="1" applyFill="1" applyBorder="1" applyAlignment="1"/>
    <xf numFmtId="0" fontId="90" fillId="0" borderId="0" xfId="0" applyFont="1" applyAlignment="1">
      <alignment horizontal="left"/>
    </xf>
    <xf numFmtId="0" fontId="53" fillId="0" borderId="4" xfId="0" applyFont="1" applyBorder="1" applyAlignment="1">
      <alignment horizontal="center" vertical="center"/>
    </xf>
    <xf numFmtId="0" fontId="61" fillId="0" borderId="28" xfId="0" applyFont="1" applyFill="1" applyBorder="1" applyAlignment="1">
      <alignment horizontal="center"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62" fillId="0" borderId="4" xfId="0" applyFont="1" applyBorder="1" applyAlignment="1">
      <alignment horizontal="left" vertical="center"/>
    </xf>
    <xf numFmtId="0" fontId="53" fillId="0" borderId="28"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2" fontId="92" fillId="0" borderId="2" xfId="0" applyNumberFormat="1" applyFont="1" applyFill="1" applyBorder="1" applyAlignment="1">
      <alignment horizontal="right"/>
    </xf>
    <xf numFmtId="2" fontId="109" fillId="0" borderId="2" xfId="0" applyNumberFormat="1" applyFont="1" applyFill="1" applyBorder="1"/>
    <xf numFmtId="2" fontId="69" fillId="0" borderId="22" xfId="0" applyNumberFormat="1" applyFont="1" applyFill="1" applyBorder="1"/>
    <xf numFmtId="2" fontId="109" fillId="0" borderId="22" xfId="0" applyNumberFormat="1" applyFont="1" applyFill="1" applyBorder="1"/>
    <xf numFmtId="0" fontId="90" fillId="0" borderId="0" xfId="0" applyFont="1" applyAlignment="1">
      <alignment horizontal="left"/>
    </xf>
    <xf numFmtId="0" fontId="53" fillId="0" borderId="4" xfId="0" applyFont="1" applyBorder="1" applyAlignment="1">
      <alignment horizontal="center" vertical="center"/>
    </xf>
    <xf numFmtId="0" fontId="61" fillId="0" borderId="28" xfId="0" applyFont="1" applyFill="1" applyBorder="1" applyAlignment="1">
      <alignment horizontal="center" vertical="center"/>
    </xf>
    <xf numFmtId="0" fontId="62" fillId="0" borderId="4" xfId="0" applyFont="1" applyBorder="1" applyAlignment="1">
      <alignment horizontal="left"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0" fontId="53" fillId="0" borderId="2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53" fillId="0" borderId="4" xfId="0" applyFont="1" applyBorder="1" applyAlignment="1">
      <alignment horizontal="center" vertical="center"/>
    </xf>
    <xf numFmtId="0" fontId="90" fillId="0" borderId="0" xfId="0" applyFont="1" applyAlignment="1">
      <alignment horizontal="left"/>
    </xf>
    <xf numFmtId="0" fontId="61" fillId="0" borderId="28" xfId="0" applyFont="1" applyFill="1" applyBorder="1" applyAlignment="1">
      <alignment horizontal="center"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62" fillId="0" borderId="4" xfId="0" applyFont="1" applyBorder="1" applyAlignment="1">
      <alignment horizontal="left" vertical="center"/>
    </xf>
    <xf numFmtId="0" fontId="53" fillId="0" borderId="28"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0" fontId="53" fillId="0" borderId="4" xfId="0" applyFont="1" applyBorder="1" applyAlignment="1">
      <alignment horizontal="center" vertical="center"/>
    </xf>
    <xf numFmtId="0" fontId="90" fillId="0" borderId="0" xfId="0" applyFont="1" applyAlignment="1">
      <alignment horizontal="left"/>
    </xf>
    <xf numFmtId="0" fontId="61" fillId="0" borderId="28" xfId="0" applyFont="1" applyFill="1" applyBorder="1" applyAlignment="1">
      <alignment horizontal="center" vertical="center"/>
    </xf>
    <xf numFmtId="0" fontId="62" fillId="0" borderId="4" xfId="0" applyFont="1" applyBorder="1" applyAlignment="1">
      <alignment horizontal="left"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0" fontId="53" fillId="0" borderId="28" xfId="0" applyFont="1" applyFill="1" applyBorder="1" applyAlignment="1">
      <alignment horizontal="center" vertical="center"/>
    </xf>
    <xf numFmtId="0" fontId="90" fillId="0" borderId="0" xfId="0" applyFont="1" applyAlignment="1">
      <alignment horizontal="left"/>
    </xf>
    <xf numFmtId="0" fontId="53" fillId="0" borderId="4" xfId="0" applyFont="1" applyBorder="1" applyAlignment="1">
      <alignment horizontal="center" vertical="center"/>
    </xf>
    <xf numFmtId="0" fontId="61" fillId="0" borderId="28" xfId="0" applyFont="1" applyFill="1" applyBorder="1" applyAlignment="1">
      <alignment horizontal="center"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62" fillId="0" borderId="4" xfId="0" applyFont="1" applyBorder="1" applyAlignment="1">
      <alignment horizontal="left" vertical="center"/>
    </xf>
    <xf numFmtId="0" fontId="53" fillId="0" borderId="28"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0" fontId="90" fillId="0" borderId="0" xfId="0" applyFont="1" applyAlignment="1">
      <alignment horizontal="left"/>
    </xf>
    <xf numFmtId="0" fontId="53"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wrapText="1"/>
    </xf>
    <xf numFmtId="0" fontId="61" fillId="0" borderId="28" xfId="0" applyFont="1" applyFill="1" applyBorder="1" applyAlignment="1">
      <alignment horizontal="center" vertical="center"/>
    </xf>
    <xf numFmtId="0" fontId="62" fillId="0" borderId="4" xfId="0" applyFont="1" applyBorder="1" applyAlignment="1">
      <alignment horizontal="left" vertical="center" wrapText="1"/>
    </xf>
    <xf numFmtId="0" fontId="60" fillId="0" borderId="4" xfId="0" applyFont="1" applyFill="1" applyBorder="1" applyAlignment="1">
      <alignment horizontal="center" vertical="center"/>
    </xf>
    <xf numFmtId="0" fontId="62" fillId="0" borderId="4" xfId="0" applyFont="1" applyBorder="1" applyAlignment="1">
      <alignment horizontal="left" vertical="center"/>
    </xf>
    <xf numFmtId="0" fontId="53" fillId="0" borderId="28" xfId="0" applyFont="1" applyFill="1" applyBorder="1" applyAlignment="1">
      <alignment horizontal="center" vertical="center"/>
    </xf>
    <xf numFmtId="0" fontId="53" fillId="0" borderId="4" xfId="0" applyFont="1" applyBorder="1" applyAlignment="1">
      <alignment horizontal="left" vertical="center"/>
    </xf>
    <xf numFmtId="0" fontId="60" fillId="0" borderId="4" xfId="0" applyFont="1" applyBorder="1" applyAlignment="1">
      <alignment horizontal="left" vertical="center"/>
    </xf>
    <xf numFmtId="0" fontId="92" fillId="0" borderId="0" xfId="0" applyFont="1" applyFill="1" applyBorder="1" applyAlignment="1">
      <alignment horizontal="center"/>
    </xf>
    <xf numFmtId="0" fontId="92" fillId="0" borderId="2" xfId="0" applyFont="1" applyBorder="1" applyAlignment="1">
      <alignment horizontal="center" vertical="center"/>
    </xf>
    <xf numFmtId="0" fontId="89" fillId="0" borderId="2" xfId="0" applyFont="1" applyBorder="1" applyAlignment="1">
      <alignment horizontal="center" vertical="center"/>
    </xf>
    <xf numFmtId="2" fontId="108" fillId="0" borderId="2" xfId="0" applyNumberFormat="1" applyFont="1" applyFill="1" applyBorder="1" applyAlignment="1">
      <alignment horizontal="center" vertical="center"/>
    </xf>
    <xf numFmtId="2" fontId="44" fillId="0" borderId="1" xfId="0" applyNumberFormat="1" applyFont="1" applyFill="1" applyBorder="1" applyAlignment="1">
      <alignment horizontal="center" vertical="center"/>
    </xf>
    <xf numFmtId="2" fontId="92" fillId="0" borderId="2" xfId="0" applyNumberFormat="1" applyFont="1" applyFill="1" applyBorder="1" applyAlignment="1">
      <alignment horizontal="center" vertical="center"/>
    </xf>
    <xf numFmtId="2" fontId="92" fillId="0" borderId="2" xfId="0" applyNumberFormat="1" applyFont="1" applyBorder="1" applyAlignment="1">
      <alignment horizontal="center" vertical="center"/>
    </xf>
    <xf numFmtId="2" fontId="88" fillId="0" borderId="2" xfId="0" applyNumberFormat="1" applyFont="1" applyBorder="1" applyAlignment="1">
      <alignment horizontal="center" vertical="center"/>
    </xf>
    <xf numFmtId="2" fontId="98" fillId="0" borderId="2" xfId="0" applyNumberFormat="1" applyFont="1" applyBorder="1" applyAlignment="1">
      <alignment horizontal="center" vertical="center"/>
    </xf>
    <xf numFmtId="0" fontId="89" fillId="0" borderId="0" xfId="0" applyFont="1" applyAlignment="1">
      <alignment horizontal="center" vertical="center"/>
    </xf>
    <xf numFmtId="0" fontId="90" fillId="0" borderId="0" xfId="0" applyFont="1" applyAlignment="1">
      <alignment horizontal="center" vertical="center"/>
    </xf>
    <xf numFmtId="0" fontId="89" fillId="0" borderId="0" xfId="0" applyFont="1" applyBorder="1" applyAlignment="1">
      <alignment horizontal="center" vertical="center"/>
    </xf>
    <xf numFmtId="0" fontId="95" fillId="0" borderId="0" xfId="1" applyFont="1" applyBorder="1" applyAlignment="1" applyProtection="1">
      <alignment horizontal="center" vertical="center"/>
    </xf>
    <xf numFmtId="0" fontId="100" fillId="0" borderId="0" xfId="0" applyFont="1" applyAlignment="1">
      <alignment horizontal="center" vertical="center"/>
    </xf>
    <xf numFmtId="0" fontId="88" fillId="0" borderId="0" xfId="0" applyFont="1" applyAlignment="1">
      <alignment horizontal="center" vertical="center"/>
    </xf>
    <xf numFmtId="0" fontId="92" fillId="0" borderId="0" xfId="0" applyFont="1" applyAlignment="1">
      <alignment horizontal="center" vertical="center"/>
    </xf>
    <xf numFmtId="0" fontId="92" fillId="0" borderId="11" xfId="0" applyFont="1" applyBorder="1" applyAlignment="1">
      <alignment horizontal="center" vertical="center"/>
    </xf>
    <xf numFmtId="0" fontId="89" fillId="0" borderId="1" xfId="0" applyFont="1" applyBorder="1" applyAlignment="1">
      <alignment horizontal="center" vertical="center"/>
    </xf>
    <xf numFmtId="0" fontId="89" fillId="3" borderId="1" xfId="0" applyFont="1" applyFill="1" applyBorder="1" applyAlignment="1">
      <alignment horizontal="center" vertical="center"/>
    </xf>
    <xf numFmtId="0" fontId="89" fillId="5" borderId="1" xfId="0" applyFont="1" applyFill="1" applyBorder="1" applyAlignment="1">
      <alignment horizontal="center" vertical="center"/>
    </xf>
    <xf numFmtId="0" fontId="89" fillId="2" borderId="1" xfId="0" applyFont="1" applyFill="1" applyBorder="1" applyAlignment="1">
      <alignment horizontal="center" vertical="center"/>
    </xf>
    <xf numFmtId="2" fontId="98" fillId="0" borderId="2" xfId="0" applyNumberFormat="1" applyFont="1" applyFill="1" applyBorder="1" applyAlignment="1">
      <alignment horizontal="center" vertical="center"/>
    </xf>
    <xf numFmtId="2" fontId="89" fillId="0" borderId="13" xfId="0" applyNumberFormat="1" applyFont="1" applyBorder="1" applyAlignment="1">
      <alignment horizontal="center" vertical="center"/>
    </xf>
    <xf numFmtId="0" fontId="40" fillId="0" borderId="1" xfId="0" applyFont="1" applyBorder="1" applyAlignment="1">
      <alignment horizontal="center" vertical="center"/>
    </xf>
    <xf numFmtId="2" fontId="98" fillId="0" borderId="1" xfId="0" applyNumberFormat="1" applyFont="1" applyFill="1" applyBorder="1" applyAlignment="1">
      <alignment horizontal="center" vertical="center"/>
    </xf>
    <xf numFmtId="2" fontId="89" fillId="0" borderId="1" xfId="0" applyNumberFormat="1" applyFont="1" applyBorder="1" applyAlignment="1">
      <alignment horizontal="center" vertical="center"/>
    </xf>
    <xf numFmtId="2" fontId="99" fillId="14" borderId="2" xfId="0" applyNumberFormat="1" applyFont="1" applyFill="1" applyBorder="1" applyAlignment="1">
      <alignment horizontal="center" vertical="center"/>
    </xf>
    <xf numFmtId="0" fontId="88" fillId="0" borderId="2" xfId="0" applyFont="1" applyBorder="1" applyAlignment="1">
      <alignment horizontal="center" vertical="center"/>
    </xf>
    <xf numFmtId="0" fontId="40" fillId="0" borderId="2" xfId="0" applyFont="1" applyFill="1" applyBorder="1" applyAlignment="1">
      <alignment horizontal="center" vertical="center" wrapText="1"/>
    </xf>
    <xf numFmtId="0" fontId="98" fillId="0" borderId="2" xfId="0" applyFont="1" applyFill="1" applyBorder="1" applyAlignment="1">
      <alignment horizontal="center" vertical="center"/>
    </xf>
    <xf numFmtId="2" fontId="109" fillId="0" borderId="2" xfId="0" applyNumberFormat="1" applyFont="1" applyFill="1" applyBorder="1" applyAlignment="1">
      <alignment horizontal="center" vertical="center"/>
    </xf>
    <xf numFmtId="2" fontId="109" fillId="0" borderId="2" xfId="0" applyNumberFormat="1" applyFont="1" applyBorder="1" applyAlignment="1">
      <alignment horizontal="center" vertical="center"/>
    </xf>
    <xf numFmtId="164" fontId="89" fillId="0" borderId="2" xfId="0" applyNumberFormat="1" applyFont="1" applyFill="1" applyBorder="1" applyAlignment="1">
      <alignment horizontal="center" vertical="center"/>
    </xf>
    <xf numFmtId="164" fontId="89" fillId="0" borderId="4" xfId="0" applyNumberFormat="1" applyFont="1" applyFill="1" applyBorder="1" applyAlignment="1">
      <alignment horizontal="center" vertical="center"/>
    </xf>
    <xf numFmtId="169" fontId="90" fillId="0" borderId="0" xfId="3" applyNumberFormat="1" applyFont="1" applyAlignment="1">
      <alignment horizontal="center" vertical="center"/>
    </xf>
    <xf numFmtId="168" fontId="108" fillId="0" borderId="0" xfId="0" applyNumberFormat="1" applyFont="1" applyAlignment="1">
      <alignment horizontal="center" vertical="center"/>
    </xf>
    <xf numFmtId="2" fontId="89" fillId="14" borderId="2" xfId="0" applyNumberFormat="1" applyFont="1" applyFill="1" applyBorder="1" applyAlignment="1">
      <alignment horizontal="center" vertical="center"/>
    </xf>
    <xf numFmtId="0" fontId="116" fillId="13" borderId="0" xfId="0" applyFont="1" applyFill="1"/>
    <xf numFmtId="0" fontId="117" fillId="13" borderId="0" xfId="0" applyFont="1" applyFill="1"/>
    <xf numFmtId="0" fontId="116" fillId="13" borderId="2" xfId="0" applyFont="1" applyFill="1" applyBorder="1"/>
    <xf numFmtId="0" fontId="117" fillId="13" borderId="13" xfId="0" applyFont="1" applyFill="1" applyBorder="1" applyAlignment="1">
      <alignment horizontal="center"/>
    </xf>
    <xf numFmtId="0" fontId="1" fillId="14" borderId="10" xfId="0" applyNumberFormat="1" applyFont="1" applyFill="1" applyBorder="1" applyAlignment="1" applyProtection="1">
      <alignment horizontal="center" vertical="center" wrapText="1"/>
      <protection locked="0"/>
    </xf>
    <xf numFmtId="0" fontId="117" fillId="13" borderId="0" xfId="0" applyFont="1" applyFill="1" applyAlignment="1">
      <alignment horizontal="center" vertical="center"/>
    </xf>
    <xf numFmtId="0" fontId="117" fillId="13" borderId="4" xfId="0" applyFont="1" applyFill="1" applyBorder="1" applyAlignment="1">
      <alignment horizontal="center" vertical="center"/>
    </xf>
    <xf numFmtId="0" fontId="117" fillId="13" borderId="2" xfId="0" applyFont="1" applyFill="1" applyBorder="1" applyAlignment="1">
      <alignment horizontal="center" vertical="center"/>
    </xf>
    <xf numFmtId="0" fontId="116" fillId="13" borderId="0" xfId="0" applyFont="1" applyFill="1" applyAlignment="1">
      <alignment vertical="center"/>
    </xf>
    <xf numFmtId="4" fontId="117" fillId="13" borderId="0" xfId="0" applyNumberFormat="1" applyFont="1" applyFill="1" applyAlignment="1">
      <alignment horizontal="center" vertical="center"/>
    </xf>
    <xf numFmtId="9" fontId="117" fillId="13" borderId="0" xfId="3" applyFont="1" applyFill="1" applyAlignment="1">
      <alignment horizontal="center" vertical="center"/>
    </xf>
    <xf numFmtId="0" fontId="117" fillId="13" borderId="11" xfId="0" applyFont="1" applyFill="1" applyBorder="1" applyAlignment="1">
      <alignment vertical="center"/>
    </xf>
    <xf numFmtId="0" fontId="117" fillId="13" borderId="14" xfId="0" applyFont="1" applyFill="1" applyBorder="1" applyAlignment="1">
      <alignment horizontal="center" vertical="center"/>
    </xf>
    <xf numFmtId="0" fontId="117" fillId="13" borderId="12" xfId="0" applyFont="1" applyFill="1" applyBorder="1" applyAlignment="1">
      <alignment horizontal="right" vertical="center"/>
    </xf>
    <xf numFmtId="14" fontId="114" fillId="13" borderId="2" xfId="0" applyNumberFormat="1" applyFont="1" applyFill="1" applyBorder="1" applyAlignment="1" applyProtection="1">
      <alignment horizontal="center" vertical="center" wrapText="1"/>
    </xf>
    <xf numFmtId="168" fontId="115" fillId="14" borderId="2" xfId="0" applyNumberFormat="1" applyFont="1" applyFill="1" applyBorder="1" applyAlignment="1" applyProtection="1">
      <alignment horizontal="center" vertical="center" wrapText="1"/>
    </xf>
    <xf numFmtId="0" fontId="117" fillId="14" borderId="2" xfId="0" applyFont="1" applyFill="1" applyBorder="1" applyAlignment="1">
      <alignment horizontal="center" vertical="center"/>
    </xf>
    <xf numFmtId="0" fontId="116" fillId="13" borderId="9" xfId="0" applyFont="1" applyFill="1" applyBorder="1" applyAlignment="1">
      <alignment vertical="center"/>
    </xf>
    <xf numFmtId="0" fontId="117" fillId="13" borderId="1" xfId="0" applyFont="1" applyFill="1" applyBorder="1" applyAlignment="1">
      <alignment horizontal="center" vertical="center"/>
    </xf>
    <xf numFmtId="4" fontId="116" fillId="14" borderId="2" xfId="0" applyNumberFormat="1" applyFont="1" applyFill="1" applyBorder="1" applyAlignment="1">
      <alignment horizontal="center" vertical="center"/>
    </xf>
    <xf numFmtId="171" fontId="116" fillId="14" borderId="4" xfId="3" applyNumberFormat="1" applyFont="1" applyFill="1" applyBorder="1" applyAlignment="1">
      <alignment horizontal="center" vertical="center"/>
    </xf>
    <xf numFmtId="3" fontId="116" fillId="14" borderId="2" xfId="0" applyNumberFormat="1" applyFont="1" applyFill="1" applyBorder="1" applyAlignment="1">
      <alignment horizontal="center" vertical="center"/>
    </xf>
    <xf numFmtId="170" fontId="116" fillId="14" borderId="2" xfId="0" applyNumberFormat="1" applyFont="1" applyFill="1" applyBorder="1" applyAlignment="1">
      <alignment horizontal="center" vertical="center"/>
    </xf>
    <xf numFmtId="171" fontId="116" fillId="14" borderId="2" xfId="3" applyNumberFormat="1" applyFont="1" applyFill="1" applyBorder="1" applyAlignment="1">
      <alignment horizontal="center" vertical="center"/>
    </xf>
    <xf numFmtId="0" fontId="116" fillId="14" borderId="2" xfId="0" applyFont="1" applyFill="1" applyBorder="1" applyAlignment="1">
      <alignment horizontal="center" vertical="center"/>
    </xf>
    <xf numFmtId="168" fontId="115" fillId="14" borderId="2" xfId="0" applyNumberFormat="1" applyFont="1" applyFill="1" applyBorder="1" applyAlignment="1" applyProtection="1">
      <alignment horizontal="center" vertical="center"/>
    </xf>
    <xf numFmtId="0" fontId="114" fillId="13" borderId="2" xfId="0" applyFont="1" applyFill="1" applyBorder="1" applyAlignment="1" applyProtection="1">
      <alignment horizontal="center" vertical="center" wrapText="1"/>
    </xf>
    <xf numFmtId="0" fontId="117" fillId="13" borderId="2" xfId="0" applyFont="1" applyFill="1" applyBorder="1" applyAlignment="1">
      <alignment horizontal="center" vertical="center"/>
    </xf>
    <xf numFmtId="170" fontId="118" fillId="14" borderId="2" xfId="0" applyNumberFormat="1" applyFont="1" applyFill="1" applyBorder="1" applyAlignment="1">
      <alignment horizontal="center" vertical="center"/>
    </xf>
    <xf numFmtId="0" fontId="116" fillId="13" borderId="0" xfId="0" applyFont="1" applyFill="1" applyAlignment="1">
      <alignment horizontal="center" vertical="center"/>
    </xf>
    <xf numFmtId="0" fontId="117" fillId="13" borderId="2" xfId="0" applyFont="1" applyFill="1" applyBorder="1" applyAlignment="1">
      <alignment horizontal="center" vertical="center"/>
    </xf>
    <xf numFmtId="0" fontId="51" fillId="13" borderId="0" xfId="1" applyFill="1" applyAlignment="1" applyProtection="1">
      <alignment vertical="center"/>
    </xf>
    <xf numFmtId="0" fontId="0" fillId="0" borderId="0" xfId="0" applyAlignment="1">
      <alignment horizontal="center"/>
    </xf>
    <xf numFmtId="2" fontId="90" fillId="13" borderId="1" xfId="0" applyNumberFormat="1" applyFont="1" applyFill="1" applyBorder="1" applyAlignment="1">
      <alignment horizontal="center" vertical="center"/>
    </xf>
    <xf numFmtId="168" fontId="115" fillId="15" borderId="2" xfId="0" applyNumberFormat="1" applyFont="1" applyFill="1" applyBorder="1" applyAlignment="1" applyProtection="1">
      <alignment horizontal="center" vertical="center"/>
    </xf>
    <xf numFmtId="0" fontId="117" fillId="13" borderId="2" xfId="0" applyFont="1" applyFill="1" applyBorder="1" applyAlignment="1">
      <alignment horizontal="center" vertical="center"/>
    </xf>
    <xf numFmtId="0" fontId="117" fillId="13" borderId="4" xfId="0" applyFont="1" applyFill="1" applyBorder="1" applyAlignment="1">
      <alignment horizontal="center" vertical="center"/>
    </xf>
    <xf numFmtId="0" fontId="92" fillId="0" borderId="32" xfId="0" applyFont="1" applyFill="1" applyBorder="1" applyAlignment="1">
      <alignment horizontal="center"/>
    </xf>
    <xf numFmtId="168" fontId="115" fillId="17" borderId="2" xfId="0" applyNumberFormat="1" applyFont="1" applyFill="1" applyBorder="1" applyAlignment="1" applyProtection="1">
      <alignment horizontal="center" vertical="center"/>
    </xf>
    <xf numFmtId="0" fontId="117" fillId="17" borderId="2" xfId="0" applyFont="1" applyFill="1" applyBorder="1" applyAlignment="1">
      <alignment horizontal="center" vertical="center"/>
    </xf>
    <xf numFmtId="14" fontId="114" fillId="17" borderId="2" xfId="0" applyNumberFormat="1" applyFont="1" applyFill="1" applyBorder="1" applyAlignment="1" applyProtection="1">
      <alignment horizontal="center" vertical="center" wrapText="1"/>
    </xf>
    <xf numFmtId="168" fontId="115" fillId="17" borderId="2" xfId="0" applyNumberFormat="1" applyFont="1" applyFill="1" applyBorder="1" applyAlignment="1" applyProtection="1">
      <alignment horizontal="center" vertical="center" wrapText="1"/>
    </xf>
    <xf numFmtId="0" fontId="116" fillId="17" borderId="0" xfId="0" applyFont="1" applyFill="1" applyAlignment="1">
      <alignment vertical="center"/>
    </xf>
    <xf numFmtId="0" fontId="116" fillId="16" borderId="0" xfId="0" applyFont="1" applyFill="1" applyAlignment="1">
      <alignment vertical="center"/>
    </xf>
    <xf numFmtId="0" fontId="116" fillId="16" borderId="0" xfId="0" applyFont="1" applyFill="1"/>
    <xf numFmtId="0" fontId="116" fillId="16" borderId="2" xfId="0" applyFont="1" applyFill="1" applyBorder="1"/>
    <xf numFmtId="0" fontId="116" fillId="16" borderId="2" xfId="0" applyFont="1" applyFill="1" applyBorder="1" applyAlignment="1">
      <alignment vertical="center"/>
    </xf>
    <xf numFmtId="14" fontId="114" fillId="18" borderId="2" xfId="0" applyNumberFormat="1" applyFont="1" applyFill="1" applyBorder="1" applyAlignment="1" applyProtection="1">
      <alignment horizontal="center" vertical="center" wrapText="1"/>
    </xf>
    <xf numFmtId="0" fontId="120" fillId="0" borderId="0" xfId="0" applyFont="1" applyFill="1"/>
    <xf numFmtId="0" fontId="121" fillId="13" borderId="0" xfId="0" applyFont="1" applyFill="1"/>
    <xf numFmtId="9" fontId="0" fillId="0" borderId="0" xfId="0" applyNumberFormat="1"/>
    <xf numFmtId="168" fontId="122" fillId="14" borderId="2" xfId="0" applyNumberFormat="1" applyFont="1" applyFill="1" applyBorder="1" applyAlignment="1" applyProtection="1">
      <alignment horizontal="center" vertical="center" wrapText="1"/>
    </xf>
    <xf numFmtId="0" fontId="90" fillId="0" borderId="0" xfId="0" applyFont="1" applyAlignment="1">
      <alignment horizontal="left"/>
    </xf>
    <xf numFmtId="0" fontId="48" fillId="0" borderId="0" xfId="0" applyFont="1" applyFill="1" applyAlignment="1">
      <alignment horizontal="left" wrapText="1"/>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0" borderId="13"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pplyAlignment="1">
      <alignment horizontal="left" vertical="center"/>
    </xf>
    <xf numFmtId="0" fontId="2" fillId="0" borderId="13"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38" xfId="0" applyFont="1" applyFill="1" applyBorder="1" applyAlignment="1">
      <alignment horizontal="center" vertical="center"/>
    </xf>
    <xf numFmtId="0" fontId="13" fillId="0" borderId="10" xfId="0" applyFont="1" applyBorder="1" applyAlignment="1">
      <alignment horizontal="left"/>
    </xf>
    <xf numFmtId="0" fontId="13" fillId="0" borderId="8" xfId="0" applyFont="1" applyBorder="1" applyAlignment="1">
      <alignment horizontal="left"/>
    </xf>
    <xf numFmtId="0" fontId="13" fillId="0" borderId="35" xfId="0" applyFont="1" applyBorder="1" applyAlignment="1">
      <alignment horizontal="left"/>
    </xf>
    <xf numFmtId="0" fontId="2" fillId="0" borderId="10" xfId="0" applyFont="1" applyBorder="1" applyAlignment="1">
      <alignment horizontal="left"/>
    </xf>
    <xf numFmtId="0" fontId="2" fillId="0" borderId="8" xfId="0" applyFont="1" applyBorder="1" applyAlignment="1">
      <alignment horizontal="left"/>
    </xf>
    <xf numFmtId="0" fontId="2" fillId="0" borderId="35" xfId="0" applyFont="1" applyBorder="1" applyAlignment="1">
      <alignment horizontal="left"/>
    </xf>
    <xf numFmtId="0" fontId="2" fillId="0" borderId="29" xfId="0" applyFont="1" applyFill="1" applyBorder="1" applyAlignment="1">
      <alignment horizontal="center" vertical="center"/>
    </xf>
    <xf numFmtId="0" fontId="94" fillId="0" borderId="32" xfId="0" applyFont="1" applyBorder="1" applyAlignment="1">
      <alignment horizontal="center" vertical="center"/>
    </xf>
    <xf numFmtId="0" fontId="94" fillId="0" borderId="30" xfId="0" applyFont="1" applyBorder="1" applyAlignment="1">
      <alignment horizontal="center" vertical="center"/>
    </xf>
    <xf numFmtId="0" fontId="94" fillId="0" borderId="0" xfId="0" applyFont="1" applyBorder="1" applyAlignment="1">
      <alignment horizontal="center" vertical="center"/>
    </xf>
    <xf numFmtId="0" fontId="94" fillId="0" borderId="36" xfId="0" applyFont="1" applyBorder="1" applyAlignment="1">
      <alignment horizontal="center" vertical="center"/>
    </xf>
    <xf numFmtId="0" fontId="61" fillId="0" borderId="17" xfId="0" applyFont="1" applyFill="1" applyBorder="1" applyAlignment="1">
      <alignment horizontal="left" vertical="center" wrapText="1"/>
    </xf>
    <xf numFmtId="0" fontId="110" fillId="0" borderId="44" xfId="0" applyFont="1" applyBorder="1" applyAlignment="1">
      <alignment horizontal="left" wrapText="1"/>
    </xf>
    <xf numFmtId="0" fontId="61" fillId="0" borderId="28" xfId="0" applyFont="1" applyFill="1" applyBorder="1" applyAlignment="1">
      <alignment horizontal="center" vertical="center"/>
    </xf>
    <xf numFmtId="0" fontId="61" fillId="0" borderId="31" xfId="0" applyFont="1" applyFill="1" applyBorder="1" applyAlignment="1">
      <alignment horizontal="center" vertical="center"/>
    </xf>
    <xf numFmtId="0" fontId="62" fillId="0" borderId="4" xfId="0" applyFont="1" applyBorder="1" applyAlignment="1">
      <alignment horizontal="left" vertical="center" wrapText="1"/>
    </xf>
    <xf numFmtId="0" fontId="62" fillId="0" borderId="13" xfId="0" applyFont="1" applyBorder="1" applyAlignment="1">
      <alignment horizontal="left" vertical="center" wrapText="1"/>
    </xf>
    <xf numFmtId="0" fontId="60" fillId="0" borderId="4" xfId="0" applyFont="1" applyFill="1" applyBorder="1" applyAlignment="1">
      <alignment horizontal="center" vertical="center"/>
    </xf>
    <xf numFmtId="0" fontId="60" fillId="0" borderId="13" xfId="0" applyFont="1" applyFill="1" applyBorder="1" applyAlignment="1">
      <alignment horizontal="center" vertical="center"/>
    </xf>
    <xf numFmtId="0" fontId="61" fillId="0" borderId="6" xfId="0" applyFont="1" applyFill="1" applyBorder="1" applyAlignment="1">
      <alignment horizontal="center" vertical="center"/>
    </xf>
    <xf numFmtId="0" fontId="62" fillId="0" borderId="4" xfId="0" applyFont="1" applyBorder="1" applyAlignment="1">
      <alignment horizontal="left" vertical="center"/>
    </xf>
    <xf numFmtId="0" fontId="62" fillId="0" borderId="7" xfId="0" applyFont="1" applyBorder="1" applyAlignment="1">
      <alignment horizontal="left" vertical="center"/>
    </xf>
    <xf numFmtId="0" fontId="62" fillId="0" borderId="13" xfId="0" applyFont="1" applyBorder="1" applyAlignment="1">
      <alignment horizontal="left" vertical="center"/>
    </xf>
    <xf numFmtId="0" fontId="52" fillId="0" borderId="32" xfId="0" applyFont="1" applyBorder="1" applyAlignment="1">
      <alignment horizontal="center" vertical="center"/>
    </xf>
    <xf numFmtId="0" fontId="52" fillId="0" borderId="30" xfId="0" applyFont="1" applyBorder="1" applyAlignment="1">
      <alignment horizontal="center" vertical="center"/>
    </xf>
    <xf numFmtId="0" fontId="52" fillId="0" borderId="0" xfId="0" applyFont="1" applyBorder="1" applyAlignment="1">
      <alignment horizontal="center" vertical="center"/>
    </xf>
    <xf numFmtId="0" fontId="52" fillId="0" borderId="36" xfId="0" applyFont="1" applyBorder="1" applyAlignment="1">
      <alignment horizontal="center" vertical="center"/>
    </xf>
    <xf numFmtId="0" fontId="53" fillId="0" borderId="28"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4" xfId="0" applyFont="1" applyBorder="1" applyAlignment="1">
      <alignment horizontal="left" vertical="center"/>
    </xf>
    <xf numFmtId="0" fontId="53" fillId="0" borderId="13" xfId="0" applyFont="1" applyBorder="1" applyAlignment="1">
      <alignment horizontal="left" vertical="center"/>
    </xf>
    <xf numFmtId="0" fontId="60" fillId="0" borderId="4" xfId="0" applyFont="1" applyBorder="1" applyAlignment="1">
      <alignment horizontal="left" vertical="center"/>
    </xf>
    <xf numFmtId="0" fontId="60" fillId="0" borderId="13" xfId="0" applyFont="1" applyBorder="1" applyAlignment="1">
      <alignment horizontal="left" vertical="center"/>
    </xf>
    <xf numFmtId="0" fontId="61" fillId="0" borderId="4" xfId="0" applyFont="1" applyFill="1" applyBorder="1" applyAlignment="1">
      <alignment horizontal="center" vertical="center"/>
    </xf>
    <xf numFmtId="0" fontId="61" fillId="0" borderId="1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13" xfId="0" applyFont="1" applyFill="1" applyBorder="1" applyAlignment="1">
      <alignment horizontal="center" vertical="center"/>
    </xf>
    <xf numFmtId="0" fontId="52" fillId="0" borderId="9" xfId="0" applyFont="1" applyBorder="1" applyAlignment="1">
      <alignment horizontal="center" vertical="center"/>
    </xf>
    <xf numFmtId="0" fontId="52" fillId="0" borderId="8" xfId="0" applyFont="1" applyBorder="1" applyAlignment="1">
      <alignment horizontal="center" vertical="center"/>
    </xf>
    <xf numFmtId="0" fontId="52" fillId="0" borderId="33" xfId="0" applyFont="1" applyBorder="1" applyAlignment="1">
      <alignment horizontal="center" vertical="center"/>
    </xf>
    <xf numFmtId="0" fontId="52" fillId="0" borderId="35" xfId="0" applyFont="1" applyBorder="1" applyAlignment="1">
      <alignment horizontal="center" vertical="center"/>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9" fillId="0" borderId="53" xfId="0" applyFont="1" applyFill="1" applyBorder="1" applyAlignment="1">
      <alignment horizontal="center"/>
    </xf>
    <xf numFmtId="0" fontId="75" fillId="0" borderId="0" xfId="0" applyFont="1" applyAlignment="1">
      <alignment horizontal="center"/>
    </xf>
    <xf numFmtId="0" fontId="64" fillId="0" borderId="0" xfId="0" applyFont="1" applyAlignment="1">
      <alignment horizontal="center"/>
    </xf>
    <xf numFmtId="0" fontId="63" fillId="0" borderId="0" xfId="0" applyFont="1" applyAlignment="1">
      <alignment horizontal="center"/>
    </xf>
    <xf numFmtId="0" fontId="75" fillId="9" borderId="0" xfId="0" applyFont="1" applyFill="1" applyAlignment="1">
      <alignment horizontal="center"/>
    </xf>
    <xf numFmtId="0" fontId="67" fillId="0" borderId="74" xfId="0" applyFont="1" applyFill="1" applyBorder="1" applyAlignment="1">
      <alignment horizontal="center"/>
    </xf>
    <xf numFmtId="0" fontId="74" fillId="0" borderId="0" xfId="0" applyFont="1" applyAlignment="1">
      <alignment horizontal="center"/>
    </xf>
    <xf numFmtId="0" fontId="67" fillId="0" borderId="57" xfId="0" applyFont="1" applyFill="1" applyBorder="1" applyAlignment="1">
      <alignment horizontal="center"/>
    </xf>
    <xf numFmtId="0" fontId="1" fillId="14" borderId="2" xfId="0" applyNumberFormat="1" applyFont="1" applyFill="1" applyBorder="1" applyAlignment="1" applyProtection="1">
      <alignment horizontal="center" vertical="center" wrapText="1"/>
      <protection locked="0"/>
    </xf>
    <xf numFmtId="0" fontId="117" fillId="13" borderId="2" xfId="0" applyFont="1" applyFill="1" applyBorder="1" applyAlignment="1">
      <alignment horizontal="center" vertical="center"/>
    </xf>
    <xf numFmtId="0" fontId="117" fillId="13" borderId="4" xfId="0" applyFont="1" applyFill="1" applyBorder="1" applyAlignment="1">
      <alignment horizontal="center" vertical="center"/>
    </xf>
    <xf numFmtId="0" fontId="117" fillId="13" borderId="13" xfId="0" applyFont="1" applyFill="1" applyBorder="1" applyAlignment="1">
      <alignment horizontal="center" vertical="center"/>
    </xf>
    <xf numFmtId="171" fontId="116" fillId="14" borderId="4" xfId="3" applyNumberFormat="1" applyFont="1" applyFill="1" applyBorder="1" applyAlignment="1">
      <alignment horizontal="center" vertical="center"/>
    </xf>
    <xf numFmtId="171" fontId="116" fillId="14" borderId="13" xfId="3" applyNumberFormat="1" applyFont="1" applyFill="1" applyBorder="1" applyAlignment="1">
      <alignment horizontal="center" vertical="center"/>
    </xf>
    <xf numFmtId="0" fontId="117" fillId="13" borderId="29" xfId="0" applyFont="1" applyFill="1" applyBorder="1" applyAlignment="1">
      <alignment horizontal="center" vertical="center"/>
    </xf>
    <xf numFmtId="0" fontId="117" fillId="13" borderId="1" xfId="0" applyFont="1" applyFill="1" applyBorder="1" applyAlignment="1">
      <alignment horizontal="center" vertical="center"/>
    </xf>
  </cellXfs>
  <cellStyles count="4">
    <cellStyle name="Hipersaitas" xfId="1" builtinId="8"/>
    <cellStyle name="Įprastas" xfId="0" builtinId="0"/>
    <cellStyle name="Normal 2" xfId="2"/>
    <cellStyle name="Procentai" xfId="3" builtinId="5"/>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nyksciusiluma.lt/" TargetMode="External"/><Relationship Id="rId13" Type="http://schemas.openxmlformats.org/officeDocument/2006/relationships/hyperlink" Target="http://www.anyksciusiluma.lt/" TargetMode="External"/><Relationship Id="rId18" Type="http://schemas.openxmlformats.org/officeDocument/2006/relationships/hyperlink" Target="http://www.anyksciusiluma.lt/" TargetMode="External"/><Relationship Id="rId3" Type="http://schemas.openxmlformats.org/officeDocument/2006/relationships/hyperlink" Target="http://www.anyksciusiluma.lt/" TargetMode="External"/><Relationship Id="rId21" Type="http://schemas.openxmlformats.org/officeDocument/2006/relationships/hyperlink" Target="http://www.anyksciusiluma.lt/" TargetMode="External"/><Relationship Id="rId7" Type="http://schemas.openxmlformats.org/officeDocument/2006/relationships/hyperlink" Target="http://www.anyksciusiluma.lt/" TargetMode="External"/><Relationship Id="rId12" Type="http://schemas.openxmlformats.org/officeDocument/2006/relationships/hyperlink" Target="http://www.anyksciusiluma.lt/" TargetMode="External"/><Relationship Id="rId17" Type="http://schemas.openxmlformats.org/officeDocument/2006/relationships/hyperlink" Target="http://www.anyksciusiluma.lt/" TargetMode="External"/><Relationship Id="rId25" Type="http://schemas.openxmlformats.org/officeDocument/2006/relationships/comments" Target="../comments1.xml"/><Relationship Id="rId2" Type="http://schemas.openxmlformats.org/officeDocument/2006/relationships/hyperlink" Target="http://www.anyksciusiluma.lt/" TargetMode="External"/><Relationship Id="rId16" Type="http://schemas.openxmlformats.org/officeDocument/2006/relationships/hyperlink" Target="http://www.anyksciusiluma.lt/" TargetMode="External"/><Relationship Id="rId20" Type="http://schemas.openxmlformats.org/officeDocument/2006/relationships/hyperlink" Target="mailto:ast.info@takas.lt" TargetMode="External"/><Relationship Id="rId1" Type="http://schemas.openxmlformats.org/officeDocument/2006/relationships/hyperlink" Target="http://www.anyksciusiluma.lt/" TargetMode="External"/><Relationship Id="rId6" Type="http://schemas.openxmlformats.org/officeDocument/2006/relationships/hyperlink" Target="http://www.anyksciusiluma.lt/" TargetMode="External"/><Relationship Id="rId11" Type="http://schemas.openxmlformats.org/officeDocument/2006/relationships/hyperlink" Target="http://www.anyksciusiluma.lt/" TargetMode="External"/><Relationship Id="rId24" Type="http://schemas.openxmlformats.org/officeDocument/2006/relationships/vmlDrawing" Target="../drawings/vmlDrawing1.vml"/><Relationship Id="rId5" Type="http://schemas.openxmlformats.org/officeDocument/2006/relationships/hyperlink" Target="http://www.anyksciusiluma.lt/" TargetMode="External"/><Relationship Id="rId15" Type="http://schemas.openxmlformats.org/officeDocument/2006/relationships/hyperlink" Target="http://www.anyksciusiluma.lt/" TargetMode="External"/><Relationship Id="rId23" Type="http://schemas.openxmlformats.org/officeDocument/2006/relationships/printerSettings" Target="../printerSettings/printerSettings1.bin"/><Relationship Id="rId10" Type="http://schemas.openxmlformats.org/officeDocument/2006/relationships/hyperlink" Target="http://www.anyksciusiluma.lt/" TargetMode="External"/><Relationship Id="rId19" Type="http://schemas.openxmlformats.org/officeDocument/2006/relationships/hyperlink" Target="http://www.anyksciusiluma.lt/" TargetMode="External"/><Relationship Id="rId4" Type="http://schemas.openxmlformats.org/officeDocument/2006/relationships/hyperlink" Target="http://www.anyksciusiluma.lt/" TargetMode="External"/><Relationship Id="rId9" Type="http://schemas.openxmlformats.org/officeDocument/2006/relationships/hyperlink" Target="http://www.anyksciusiluma.lt/" TargetMode="External"/><Relationship Id="rId14" Type="http://schemas.openxmlformats.org/officeDocument/2006/relationships/hyperlink" Target="http://www.anyksciusiluma.lt/" TargetMode="External"/><Relationship Id="rId22" Type="http://schemas.openxmlformats.org/officeDocument/2006/relationships/hyperlink" Target="mailto:ast.info@takas.l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www.regula.lt/siluma/Puslapiai/kuro-ir-perkamos-silumos-kainos/vidutine-salies-kuro-zaliavos-kaina.aspx"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812"/>
  <sheetViews>
    <sheetView showGridLines="0" tabSelected="1" topLeftCell="A2715" zoomScaleNormal="100" workbookViewId="0">
      <selection activeCell="B2744" sqref="B2744"/>
    </sheetView>
  </sheetViews>
  <sheetFormatPr defaultRowHeight="15" x14ac:dyDescent="0.25"/>
  <cols>
    <col min="1" max="1" width="6.42578125" customWidth="1"/>
    <col min="2" max="2" width="58.28515625" customWidth="1"/>
    <col min="3" max="3" width="17.5703125" customWidth="1"/>
    <col min="4" max="4" width="37.7109375" customWidth="1"/>
    <col min="5" max="5" width="12.28515625" style="521" customWidth="1"/>
    <col min="6" max="6" width="11.28515625" customWidth="1"/>
  </cols>
  <sheetData>
    <row r="1" spans="1:6" hidden="1" x14ac:dyDescent="0.25">
      <c r="A1" s="132" t="s">
        <v>0</v>
      </c>
      <c r="B1" s="132"/>
      <c r="C1" s="132"/>
      <c r="D1" s="132"/>
      <c r="E1" s="480" t="s">
        <v>107</v>
      </c>
      <c r="F1" s="3"/>
    </row>
    <row r="2" spans="1:6" hidden="1" x14ac:dyDescent="0.25">
      <c r="A2" s="132" t="s">
        <v>1</v>
      </c>
      <c r="B2" s="132"/>
      <c r="C2" s="132"/>
      <c r="D2" s="132" t="s">
        <v>178</v>
      </c>
      <c r="E2" s="519"/>
      <c r="F2" s="3"/>
    </row>
    <row r="3" spans="1:6" hidden="1" x14ac:dyDescent="0.25">
      <c r="A3" s="132" t="s">
        <v>2</v>
      </c>
      <c r="B3" s="132"/>
      <c r="C3" s="132"/>
      <c r="D3" s="132" t="s">
        <v>167</v>
      </c>
      <c r="E3" s="520"/>
      <c r="F3" s="3"/>
    </row>
    <row r="4" spans="1:6" hidden="1" x14ac:dyDescent="0.25">
      <c r="A4" s="132" t="s">
        <v>3</v>
      </c>
      <c r="B4" s="132"/>
      <c r="C4" s="132"/>
      <c r="D4" s="132" t="s">
        <v>168</v>
      </c>
      <c r="E4" s="519"/>
      <c r="F4" s="3"/>
    </row>
    <row r="5" spans="1:6" hidden="1" x14ac:dyDescent="0.25">
      <c r="A5" s="132" t="s">
        <v>4</v>
      </c>
      <c r="B5" s="132"/>
      <c r="C5" s="132"/>
      <c r="D5" s="132" t="s">
        <v>169</v>
      </c>
      <c r="E5" s="519"/>
      <c r="F5" s="3"/>
    </row>
    <row r="6" spans="1:6" hidden="1" x14ac:dyDescent="0.25">
      <c r="A6" s="152" t="s">
        <v>192</v>
      </c>
      <c r="B6" s="132"/>
      <c r="C6" s="132"/>
      <c r="D6" s="132"/>
      <c r="E6" s="519"/>
      <c r="F6" s="3"/>
    </row>
    <row r="7" spans="1:6" hidden="1" x14ac:dyDescent="0.25">
      <c r="A7" s="132" t="s">
        <v>5</v>
      </c>
      <c r="B7" s="132"/>
      <c r="C7" s="132"/>
      <c r="D7" s="132" t="s">
        <v>170</v>
      </c>
      <c r="E7" s="519"/>
      <c r="F7" s="3"/>
    </row>
    <row r="8" spans="1:6" hidden="1" x14ac:dyDescent="0.25">
      <c r="A8" s="1"/>
      <c r="B8" s="1"/>
      <c r="C8" s="1"/>
      <c r="D8" s="1"/>
      <c r="E8" s="463"/>
      <c r="F8" s="1"/>
    </row>
    <row r="9" spans="1:6" ht="15.75" hidden="1" x14ac:dyDescent="0.25">
      <c r="A9" s="141"/>
      <c r="B9" s="141" t="s">
        <v>184</v>
      </c>
      <c r="C9" s="2"/>
      <c r="D9" s="2"/>
      <c r="F9" s="2"/>
    </row>
    <row r="10" spans="1:6" ht="15.75" hidden="1" x14ac:dyDescent="0.25">
      <c r="A10" s="141"/>
      <c r="B10" s="141"/>
      <c r="C10" s="150">
        <v>41479</v>
      </c>
      <c r="D10" s="2"/>
      <c r="F10" s="2"/>
    </row>
    <row r="11" spans="1:6" ht="15.75" hidden="1" x14ac:dyDescent="0.25">
      <c r="A11" s="141"/>
      <c r="B11" s="141"/>
      <c r="C11" s="151" t="s">
        <v>191</v>
      </c>
      <c r="D11" s="2"/>
      <c r="F11" s="2"/>
    </row>
    <row r="12" spans="1:6" hidden="1" x14ac:dyDescent="0.25">
      <c r="A12" s="2" t="s">
        <v>6</v>
      </c>
      <c r="B12" s="2"/>
      <c r="C12" s="2"/>
      <c r="D12" s="2"/>
      <c r="E12" s="522"/>
      <c r="F12" s="1"/>
    </row>
    <row r="13" spans="1:6" hidden="1" x14ac:dyDescent="0.25">
      <c r="A13" s="1" t="s">
        <v>195</v>
      </c>
      <c r="B13" s="1"/>
      <c r="C13" s="1"/>
      <c r="D13" s="1"/>
      <c r="E13" s="463"/>
      <c r="F13" s="1"/>
    </row>
    <row r="14" spans="1:6" hidden="1" x14ac:dyDescent="0.25">
      <c r="A14" s="1" t="s">
        <v>7</v>
      </c>
      <c r="B14" s="1"/>
      <c r="C14" s="1"/>
      <c r="D14" s="1"/>
      <c r="E14" s="463"/>
      <c r="F14" s="1"/>
    </row>
    <row r="15" spans="1:6" hidden="1" x14ac:dyDescent="0.25">
      <c r="A15" s="1"/>
      <c r="B15" s="1"/>
      <c r="C15" s="1"/>
      <c r="D15" s="1"/>
      <c r="E15" s="463"/>
      <c r="F15" s="1"/>
    </row>
    <row r="16" spans="1:6" hidden="1" x14ac:dyDescent="0.25">
      <c r="A16" s="25" t="s">
        <v>8</v>
      </c>
      <c r="B16" s="25" t="s">
        <v>9</v>
      </c>
      <c r="C16" s="25" t="s">
        <v>10</v>
      </c>
      <c r="D16" s="25" t="s">
        <v>11</v>
      </c>
      <c r="E16" s="523" t="s">
        <v>12</v>
      </c>
      <c r="F16" s="1"/>
    </row>
    <row r="17" spans="1:6" hidden="1" x14ac:dyDescent="0.25">
      <c r="A17" s="24">
        <v>1</v>
      </c>
      <c r="B17" s="24">
        <v>2</v>
      </c>
      <c r="C17" s="24">
        <v>3</v>
      </c>
      <c r="D17" s="24">
        <v>4</v>
      </c>
      <c r="E17" s="524">
        <v>5</v>
      </c>
      <c r="F17" s="1"/>
    </row>
    <row r="18" spans="1:6" hidden="1" x14ac:dyDescent="0.25">
      <c r="A18" s="34" t="s">
        <v>13</v>
      </c>
      <c r="B18" s="26" t="s">
        <v>14</v>
      </c>
      <c r="C18" s="26"/>
      <c r="D18" s="26"/>
      <c r="E18" s="525"/>
      <c r="F18" s="1"/>
    </row>
    <row r="19" spans="1:6" ht="17.25" hidden="1" x14ac:dyDescent="0.3">
      <c r="A19" s="34" t="s">
        <v>15</v>
      </c>
      <c r="B19" s="133" t="s">
        <v>183</v>
      </c>
      <c r="C19" s="9" t="s">
        <v>59</v>
      </c>
      <c r="D19" s="135" t="s">
        <v>179</v>
      </c>
      <c r="E19" s="526">
        <f>E20+E21</f>
        <v>21.342946656863752</v>
      </c>
      <c r="F19" s="1"/>
    </row>
    <row r="20" spans="1:6" ht="18.75" hidden="1" x14ac:dyDescent="0.35">
      <c r="A20" s="25" t="s">
        <v>16</v>
      </c>
      <c r="B20" s="24" t="s">
        <v>18</v>
      </c>
      <c r="C20" s="11" t="s">
        <v>59</v>
      </c>
      <c r="D20" s="122" t="s">
        <v>171</v>
      </c>
      <c r="E20" s="527">
        <v>4.57</v>
      </c>
      <c r="F20" s="1"/>
    </row>
    <row r="21" spans="1:6" ht="33" hidden="1" x14ac:dyDescent="0.25">
      <c r="A21" s="35" t="s">
        <v>17</v>
      </c>
      <c r="B21" s="149" t="s">
        <v>19</v>
      </c>
      <c r="C21" s="27" t="s">
        <v>59</v>
      </c>
      <c r="D21" s="28" t="s">
        <v>20</v>
      </c>
      <c r="E21" s="528">
        <f>0.28+((4325*E26+((226+106.1)*E30)+509*E34)/(44.84*1000))/10</f>
        <v>16.772946656863752</v>
      </c>
      <c r="F21" s="1"/>
    </row>
    <row r="22" spans="1:6" hidden="1" x14ac:dyDescent="0.25">
      <c r="A22" s="25" t="s">
        <v>21</v>
      </c>
      <c r="B22" s="30" t="s">
        <v>22</v>
      </c>
      <c r="C22" s="31"/>
      <c r="D22" s="33"/>
      <c r="E22" s="529"/>
      <c r="F22" s="1"/>
    </row>
    <row r="23" spans="1:6" hidden="1" x14ac:dyDescent="0.25">
      <c r="A23" s="47" t="s">
        <v>23</v>
      </c>
      <c r="B23" s="48" t="s">
        <v>24</v>
      </c>
      <c r="C23" s="49"/>
      <c r="D23" s="49"/>
      <c r="E23" s="530"/>
      <c r="F23" s="1"/>
    </row>
    <row r="24" spans="1:6" hidden="1" x14ac:dyDescent="0.25">
      <c r="A24" s="25" t="s">
        <v>25</v>
      </c>
      <c r="B24" s="24" t="s">
        <v>26</v>
      </c>
      <c r="C24" s="32" t="s">
        <v>41</v>
      </c>
      <c r="D24" s="24"/>
      <c r="E24" s="524"/>
      <c r="F24" s="1"/>
    </row>
    <row r="25" spans="1:6" hidden="1" x14ac:dyDescent="0.25">
      <c r="A25" s="25" t="s">
        <v>27</v>
      </c>
      <c r="B25" s="24" t="s">
        <v>28</v>
      </c>
      <c r="C25" s="5" t="s">
        <v>41</v>
      </c>
      <c r="D25" s="24"/>
      <c r="E25" s="524"/>
      <c r="F25" s="1"/>
    </row>
    <row r="26" spans="1:6" hidden="1" x14ac:dyDescent="0.25">
      <c r="A26" s="25" t="s">
        <v>29</v>
      </c>
      <c r="B26" s="38" t="s">
        <v>30</v>
      </c>
      <c r="C26" s="39" t="s">
        <v>41</v>
      </c>
      <c r="D26" s="24"/>
      <c r="E26" s="524">
        <f>1278.41+37.53+275.02</f>
        <v>1590.96</v>
      </c>
      <c r="F26" s="1"/>
    </row>
    <row r="27" spans="1:6" hidden="1" x14ac:dyDescent="0.25">
      <c r="A27" s="36" t="s">
        <v>31</v>
      </c>
      <c r="B27" s="41" t="s">
        <v>32</v>
      </c>
      <c r="C27" s="42"/>
      <c r="D27" s="42"/>
      <c r="E27" s="531"/>
      <c r="F27" s="1"/>
    </row>
    <row r="28" spans="1:6" hidden="1" x14ac:dyDescent="0.25">
      <c r="A28" s="25" t="s">
        <v>35</v>
      </c>
      <c r="B28" s="24" t="s">
        <v>26</v>
      </c>
      <c r="C28" s="40" t="s">
        <v>33</v>
      </c>
      <c r="D28" s="24"/>
      <c r="E28" s="524"/>
      <c r="F28" s="1"/>
    </row>
    <row r="29" spans="1:6" hidden="1" x14ac:dyDescent="0.25">
      <c r="A29" s="25" t="s">
        <v>36</v>
      </c>
      <c r="B29" s="24" t="s">
        <v>28</v>
      </c>
      <c r="C29" s="4" t="s">
        <v>33</v>
      </c>
      <c r="D29" s="24"/>
      <c r="E29" s="524"/>
      <c r="F29" s="1"/>
    </row>
    <row r="30" spans="1:6" hidden="1" x14ac:dyDescent="0.25">
      <c r="A30" s="25" t="s">
        <v>37</v>
      </c>
      <c r="B30" s="24" t="s">
        <v>30</v>
      </c>
      <c r="C30" s="43" t="s">
        <v>33</v>
      </c>
      <c r="D30" s="24"/>
      <c r="E30" s="532">
        <f>Lapas3!D48</f>
        <v>362.08554934569713</v>
      </c>
      <c r="F30" s="1"/>
    </row>
    <row r="31" spans="1:6" hidden="1" x14ac:dyDescent="0.25">
      <c r="A31" s="37" t="s">
        <v>34</v>
      </c>
      <c r="B31" s="45" t="s">
        <v>103</v>
      </c>
      <c r="C31" s="46"/>
      <c r="D31" s="46"/>
      <c r="E31" s="533"/>
      <c r="F31" s="1"/>
    </row>
    <row r="32" spans="1:6" hidden="1" x14ac:dyDescent="0.25">
      <c r="A32" s="29" t="s">
        <v>38</v>
      </c>
      <c r="B32" s="44" t="s">
        <v>26</v>
      </c>
      <c r="C32" s="40" t="s">
        <v>33</v>
      </c>
      <c r="D32" s="24"/>
      <c r="E32" s="524"/>
      <c r="F32" s="1"/>
    </row>
    <row r="33" spans="1:6" hidden="1" x14ac:dyDescent="0.25">
      <c r="A33" s="29" t="s">
        <v>39</v>
      </c>
      <c r="B33" s="24" t="s">
        <v>28</v>
      </c>
      <c r="C33" s="4" t="s">
        <v>33</v>
      </c>
      <c r="D33" s="24"/>
      <c r="E33" s="524"/>
      <c r="F33" s="1"/>
    </row>
    <row r="34" spans="1:6" hidden="1" x14ac:dyDescent="0.25">
      <c r="A34" s="21" t="s">
        <v>40</v>
      </c>
      <c r="B34" s="38" t="s">
        <v>30</v>
      </c>
      <c r="C34" s="43" t="s">
        <v>33</v>
      </c>
      <c r="D34" s="24"/>
      <c r="E34" s="524">
        <v>774.63</v>
      </c>
      <c r="F34" s="1"/>
    </row>
    <row r="35" spans="1:6" s="7" customFormat="1" hidden="1" x14ac:dyDescent="0.25">
      <c r="A35" s="50" t="s">
        <v>42</v>
      </c>
      <c r="B35" s="51" t="s">
        <v>43</v>
      </c>
      <c r="C35" s="52"/>
      <c r="D35" s="52"/>
      <c r="E35" s="534"/>
      <c r="F35" s="6"/>
    </row>
    <row r="36" spans="1:6" hidden="1" x14ac:dyDescent="0.25">
      <c r="A36" s="24" t="s">
        <v>44</v>
      </c>
      <c r="B36" s="24" t="s">
        <v>104</v>
      </c>
      <c r="C36" s="24"/>
      <c r="D36" s="24"/>
      <c r="E36" s="523" t="s">
        <v>106</v>
      </c>
      <c r="F36" s="1"/>
    </row>
    <row r="37" spans="1:6" hidden="1" x14ac:dyDescent="0.25">
      <c r="A37" s="24" t="s">
        <v>45</v>
      </c>
      <c r="B37" s="24" t="s">
        <v>105</v>
      </c>
      <c r="C37" s="11" t="s">
        <v>59</v>
      </c>
      <c r="D37" s="24"/>
      <c r="E37" s="524">
        <v>0</v>
      </c>
      <c r="F37" s="1"/>
    </row>
    <row r="38" spans="1:6" s="138" customFormat="1" ht="17.25" hidden="1" x14ac:dyDescent="0.3">
      <c r="A38" s="136" t="s">
        <v>46</v>
      </c>
      <c r="B38" s="136" t="s">
        <v>172</v>
      </c>
      <c r="C38" s="139" t="s">
        <v>59</v>
      </c>
      <c r="D38" s="140" t="s">
        <v>181</v>
      </c>
      <c r="E38" s="535"/>
      <c r="F38" s="137"/>
    </row>
    <row r="39" spans="1:6" ht="18.75" hidden="1" x14ac:dyDescent="0.35">
      <c r="A39" s="24" t="s">
        <v>48</v>
      </c>
      <c r="B39" s="24" t="s">
        <v>49</v>
      </c>
      <c r="C39" s="53" t="s">
        <v>59</v>
      </c>
      <c r="D39" s="122" t="s">
        <v>173</v>
      </c>
      <c r="E39" s="532">
        <f>E20</f>
        <v>4.57</v>
      </c>
      <c r="F39" s="1"/>
    </row>
    <row r="40" spans="1:6" ht="33" hidden="1" x14ac:dyDescent="0.25">
      <c r="A40" s="35" t="s">
        <v>50</v>
      </c>
      <c r="B40" s="35" t="s">
        <v>51</v>
      </c>
      <c r="C40" s="27" t="s">
        <v>59</v>
      </c>
      <c r="D40" s="54" t="s">
        <v>20</v>
      </c>
      <c r="E40" s="536">
        <f>E21</f>
        <v>16.772946656863752</v>
      </c>
      <c r="F40" s="1"/>
    </row>
    <row r="41" spans="1:6" hidden="1" x14ac:dyDescent="0.25">
      <c r="A41" s="24" t="s">
        <v>52</v>
      </c>
      <c r="B41" s="55" t="s">
        <v>53</v>
      </c>
      <c r="C41" s="33"/>
      <c r="D41" s="33"/>
      <c r="E41" s="529"/>
      <c r="F41" s="1"/>
    </row>
    <row r="42" spans="1:6" hidden="1" x14ac:dyDescent="0.25">
      <c r="A42" s="24" t="s">
        <v>54</v>
      </c>
      <c r="B42" s="24" t="s">
        <v>55</v>
      </c>
      <c r="C42" s="11" t="s">
        <v>56</v>
      </c>
      <c r="D42" s="24"/>
      <c r="E42" s="524">
        <v>33.57</v>
      </c>
      <c r="F42" s="1"/>
    </row>
    <row r="43" spans="1:6" hidden="1" x14ac:dyDescent="0.25">
      <c r="A43" s="24" t="s">
        <v>57</v>
      </c>
      <c r="B43" s="24" t="s">
        <v>58</v>
      </c>
      <c r="C43" s="11" t="s">
        <v>59</v>
      </c>
      <c r="D43" s="56" t="s">
        <v>47</v>
      </c>
      <c r="E43" s="524"/>
      <c r="F43" s="1"/>
    </row>
    <row r="44" spans="1:6" hidden="1" x14ac:dyDescent="0.25">
      <c r="A44" s="34" t="s">
        <v>60</v>
      </c>
      <c r="B44" s="866" t="s">
        <v>61</v>
      </c>
      <c r="C44" s="867"/>
      <c r="D44" s="867"/>
      <c r="E44" s="868"/>
      <c r="F44" s="1"/>
    </row>
    <row r="45" spans="1:6" s="8" customFormat="1" ht="17.25" hidden="1" x14ac:dyDescent="0.3">
      <c r="A45" s="12" t="s">
        <v>62</v>
      </c>
      <c r="B45" s="16" t="s">
        <v>182</v>
      </c>
      <c r="C45" s="9" t="s">
        <v>59</v>
      </c>
      <c r="D45" s="140" t="s">
        <v>180</v>
      </c>
      <c r="E45" s="526">
        <f>E46+E47</f>
        <v>6.8896524945663185</v>
      </c>
      <c r="F45" s="2"/>
    </row>
    <row r="46" spans="1:6" ht="18.75" hidden="1" x14ac:dyDescent="0.35">
      <c r="A46" s="13" t="s">
        <v>63</v>
      </c>
      <c r="B46" s="14" t="s">
        <v>64</v>
      </c>
      <c r="C46" s="11" t="s">
        <v>59</v>
      </c>
      <c r="D46" s="122" t="s">
        <v>174</v>
      </c>
      <c r="E46" s="524">
        <v>2.39</v>
      </c>
      <c r="F46" s="1"/>
    </row>
    <row r="47" spans="1:6" ht="18.75" hidden="1" x14ac:dyDescent="0.25">
      <c r="A47" s="13" t="s">
        <v>65</v>
      </c>
      <c r="B47" s="15" t="s">
        <v>66</v>
      </c>
      <c r="C47" s="20"/>
      <c r="D47" s="134" t="s">
        <v>175</v>
      </c>
      <c r="E47" s="532">
        <f>0.39+(7.24*E19/37.6)</f>
        <v>4.4996524945663179</v>
      </c>
      <c r="F47" s="1"/>
    </row>
    <row r="48" spans="1:6" hidden="1" x14ac:dyDescent="0.25">
      <c r="A48" s="12" t="s">
        <v>67</v>
      </c>
      <c r="B48" s="16" t="s">
        <v>68</v>
      </c>
      <c r="C48" s="9"/>
      <c r="D48" s="24"/>
      <c r="E48" s="524"/>
      <c r="F48" s="1"/>
    </row>
    <row r="49" spans="1:6" hidden="1" x14ac:dyDescent="0.25">
      <c r="A49" s="12" t="s">
        <v>69</v>
      </c>
      <c r="B49" s="17" t="s">
        <v>55</v>
      </c>
      <c r="C49" s="10" t="s">
        <v>56</v>
      </c>
      <c r="D49" s="24"/>
      <c r="E49" s="524"/>
      <c r="F49" s="1"/>
    </row>
    <row r="50" spans="1:6" ht="18.75" hidden="1" x14ac:dyDescent="0.35">
      <c r="A50" s="12" t="s">
        <v>70</v>
      </c>
      <c r="B50" s="17" t="s">
        <v>71</v>
      </c>
      <c r="C50" s="11" t="s">
        <v>59</v>
      </c>
      <c r="D50" s="122" t="s">
        <v>176</v>
      </c>
      <c r="E50" s="524"/>
      <c r="F50" s="1"/>
    </row>
    <row r="51" spans="1:6" hidden="1" x14ac:dyDescent="0.25">
      <c r="A51" s="126" t="s">
        <v>72</v>
      </c>
      <c r="B51" s="869" t="s">
        <v>73</v>
      </c>
      <c r="C51" s="870"/>
      <c r="D51" s="870"/>
      <c r="E51" s="871"/>
    </row>
    <row r="52" spans="1:6" hidden="1" x14ac:dyDescent="0.25">
      <c r="A52" s="858" t="s">
        <v>79</v>
      </c>
      <c r="B52" s="18" t="s">
        <v>74</v>
      </c>
      <c r="C52" s="11" t="s">
        <v>59</v>
      </c>
      <c r="D52" s="124" t="s">
        <v>106</v>
      </c>
      <c r="E52" s="462">
        <v>0.31</v>
      </c>
    </row>
    <row r="53" spans="1:6" hidden="1" x14ac:dyDescent="0.25">
      <c r="A53" s="872"/>
      <c r="B53" s="19" t="s">
        <v>75</v>
      </c>
      <c r="C53" s="53" t="s">
        <v>76</v>
      </c>
      <c r="D53" s="124" t="s">
        <v>106</v>
      </c>
      <c r="E53" s="462">
        <v>2.3199999999999998</v>
      </c>
    </row>
    <row r="54" spans="1:6" ht="15.75" hidden="1" thickBot="1" x14ac:dyDescent="0.3">
      <c r="A54" s="872"/>
      <c r="B54" s="19" t="s">
        <v>77</v>
      </c>
      <c r="C54" s="123" t="s">
        <v>78</v>
      </c>
      <c r="D54" s="124" t="s">
        <v>106</v>
      </c>
      <c r="E54" s="462">
        <v>46.02</v>
      </c>
    </row>
    <row r="55" spans="1:6" hidden="1" x14ac:dyDescent="0.25">
      <c r="A55" s="126" t="s">
        <v>80</v>
      </c>
      <c r="B55" s="127" t="s">
        <v>81</v>
      </c>
      <c r="C55" s="11" t="s">
        <v>59</v>
      </c>
      <c r="D55" s="62"/>
      <c r="E55" s="462">
        <v>0.12</v>
      </c>
    </row>
    <row r="56" spans="1:6" hidden="1" x14ac:dyDescent="0.25">
      <c r="A56" s="126" t="s">
        <v>82</v>
      </c>
      <c r="B56" s="127" t="s">
        <v>83</v>
      </c>
      <c r="C56" s="11" t="s">
        <v>59</v>
      </c>
      <c r="D56" s="62"/>
      <c r="E56" s="462">
        <v>-0.27</v>
      </c>
    </row>
    <row r="57" spans="1:6" hidden="1" x14ac:dyDescent="0.25">
      <c r="A57" s="126" t="s">
        <v>84</v>
      </c>
      <c r="B57" s="127" t="s">
        <v>177</v>
      </c>
      <c r="C57" s="11" t="s">
        <v>59</v>
      </c>
      <c r="D57" s="62"/>
      <c r="E57" s="537">
        <f>E19+E45+E52+E55+E56</f>
        <v>28.392599151430073</v>
      </c>
    </row>
    <row r="58" spans="1:6" hidden="1" x14ac:dyDescent="0.25">
      <c r="A58" s="126" t="s">
        <v>85</v>
      </c>
      <c r="B58" s="127" t="s">
        <v>86</v>
      </c>
      <c r="C58" s="11" t="s">
        <v>59</v>
      </c>
      <c r="D58" s="62"/>
      <c r="E58" s="462">
        <v>0</v>
      </c>
    </row>
    <row r="59" spans="1:6" hidden="1" x14ac:dyDescent="0.25">
      <c r="A59" s="126" t="s">
        <v>87</v>
      </c>
      <c r="B59" s="127" t="s">
        <v>88</v>
      </c>
      <c r="C59" s="9" t="s">
        <v>59</v>
      </c>
      <c r="D59" s="129"/>
      <c r="E59" s="538">
        <f>E57</f>
        <v>28.392599151430073</v>
      </c>
    </row>
    <row r="60" spans="1:6" hidden="1" x14ac:dyDescent="0.25">
      <c r="A60" s="126" t="s">
        <v>89</v>
      </c>
      <c r="B60" s="127" t="s">
        <v>90</v>
      </c>
      <c r="C60" s="9" t="s">
        <v>59</v>
      </c>
      <c r="D60" s="129"/>
      <c r="E60" s="538">
        <f>E59*1.09</f>
        <v>30.947933075058781</v>
      </c>
    </row>
    <row r="61" spans="1:6" hidden="1" x14ac:dyDescent="0.25">
      <c r="A61" s="126" t="s">
        <v>91</v>
      </c>
      <c r="B61" s="127" t="s">
        <v>92</v>
      </c>
      <c r="C61" s="9" t="s">
        <v>59</v>
      </c>
      <c r="D61" s="129"/>
      <c r="E61" s="499"/>
    </row>
    <row r="62" spans="1:6" hidden="1" x14ac:dyDescent="0.25">
      <c r="A62" s="126" t="s">
        <v>93</v>
      </c>
      <c r="B62" s="127" t="s">
        <v>94</v>
      </c>
      <c r="C62" s="126" t="s">
        <v>95</v>
      </c>
      <c r="D62" s="129"/>
      <c r="E62" s="499"/>
    </row>
    <row r="63" spans="1:6" hidden="1" x14ac:dyDescent="0.25">
      <c r="A63" s="126" t="s">
        <v>96</v>
      </c>
      <c r="B63" s="128" t="s">
        <v>97</v>
      </c>
      <c r="C63" s="130" t="s">
        <v>98</v>
      </c>
      <c r="D63" s="131"/>
      <c r="E63" s="462"/>
    </row>
    <row r="64" spans="1:6" hidden="1" x14ac:dyDescent="0.25">
      <c r="A64" s="126" t="s">
        <v>99</v>
      </c>
      <c r="B64" s="128" t="s">
        <v>100</v>
      </c>
      <c r="C64" s="125" t="s">
        <v>98</v>
      </c>
      <c r="D64" s="62"/>
      <c r="E64" s="462"/>
    </row>
    <row r="65" spans="1:5" ht="15.75" hidden="1" thickBot="1" x14ac:dyDescent="0.3">
      <c r="A65" s="22" t="s">
        <v>101</v>
      </c>
      <c r="B65" s="23" t="s">
        <v>102</v>
      </c>
      <c r="C65" s="125" t="s">
        <v>98</v>
      </c>
      <c r="D65" s="62"/>
      <c r="E65" s="462">
        <v>0</v>
      </c>
    </row>
    <row r="66" spans="1:5" hidden="1" x14ac:dyDescent="0.25"/>
    <row r="67" spans="1:5" hidden="1" x14ac:dyDescent="0.25"/>
    <row r="68" spans="1:5" hidden="1" x14ac:dyDescent="0.25"/>
    <row r="69" spans="1:5" hidden="1" x14ac:dyDescent="0.25"/>
    <row r="70" spans="1:5" hidden="1" x14ac:dyDescent="0.25">
      <c r="B70" t="s">
        <v>189</v>
      </c>
      <c r="C70" t="s">
        <v>193</v>
      </c>
      <c r="D70" s="146" t="s">
        <v>190</v>
      </c>
    </row>
    <row r="71" spans="1:5" hidden="1" x14ac:dyDescent="0.25">
      <c r="C71" s="153" t="s">
        <v>194</v>
      </c>
    </row>
    <row r="72" spans="1:5" hidden="1" x14ac:dyDescent="0.25"/>
    <row r="73" spans="1:5" hidden="1" x14ac:dyDescent="0.25"/>
    <row r="74" spans="1:5" hidden="1" x14ac:dyDescent="0.25"/>
    <row r="75" spans="1:5" hidden="1" x14ac:dyDescent="0.25"/>
    <row r="76" spans="1:5" hidden="1" x14ac:dyDescent="0.25"/>
    <row r="77" spans="1:5" hidden="1" x14ac:dyDescent="0.25"/>
    <row r="78" spans="1:5" hidden="1" x14ac:dyDescent="0.25"/>
    <row r="79" spans="1:5" hidden="1" x14ac:dyDescent="0.25"/>
    <row r="80" spans="1:5" hidden="1" x14ac:dyDescent="0.25"/>
    <row r="81" spans="1:5" hidden="1" x14ac:dyDescent="0.25"/>
    <row r="82" spans="1:5" hidden="1" x14ac:dyDescent="0.25"/>
    <row r="83" spans="1:5" hidden="1" x14ac:dyDescent="0.25"/>
    <row r="84" spans="1:5" hidden="1" x14ac:dyDescent="0.25"/>
    <row r="85" spans="1:5" hidden="1" x14ac:dyDescent="0.25"/>
    <row r="86" spans="1:5" hidden="1" x14ac:dyDescent="0.25"/>
    <row r="87" spans="1:5" hidden="1" x14ac:dyDescent="0.25"/>
    <row r="88" spans="1:5" hidden="1" x14ac:dyDescent="0.25"/>
    <row r="89" spans="1:5" hidden="1" x14ac:dyDescent="0.25"/>
    <row r="90" spans="1:5" hidden="1" x14ac:dyDescent="0.25"/>
    <row r="91" spans="1:5" hidden="1" x14ac:dyDescent="0.25"/>
    <row r="92" spans="1:5" hidden="1" x14ac:dyDescent="0.25">
      <c r="A92" s="132" t="s">
        <v>0</v>
      </c>
      <c r="B92" s="132"/>
      <c r="C92" s="132"/>
      <c r="D92" s="132"/>
      <c r="E92" s="480" t="s">
        <v>107</v>
      </c>
    </row>
    <row r="93" spans="1:5" hidden="1" x14ac:dyDescent="0.25">
      <c r="A93" s="132" t="s">
        <v>1</v>
      </c>
      <c r="B93" s="132"/>
      <c r="C93" s="132"/>
      <c r="D93" s="132" t="s">
        <v>178</v>
      </c>
      <c r="E93" s="519"/>
    </row>
    <row r="94" spans="1:5" hidden="1" x14ac:dyDescent="0.25">
      <c r="A94" s="132" t="s">
        <v>2</v>
      </c>
      <c r="B94" s="132"/>
      <c r="C94" s="132"/>
      <c r="D94" s="132" t="s">
        <v>167</v>
      </c>
      <c r="E94" s="520"/>
    </row>
    <row r="95" spans="1:5" hidden="1" x14ac:dyDescent="0.25">
      <c r="A95" s="132" t="s">
        <v>3</v>
      </c>
      <c r="B95" s="132"/>
      <c r="C95" s="132"/>
      <c r="D95" s="132" t="s">
        <v>168</v>
      </c>
      <c r="E95" s="519"/>
    </row>
    <row r="96" spans="1:5" hidden="1" x14ac:dyDescent="0.25">
      <c r="A96" s="132" t="s">
        <v>4</v>
      </c>
      <c r="B96" s="132"/>
      <c r="C96" s="132"/>
      <c r="D96" s="132" t="s">
        <v>169</v>
      </c>
      <c r="E96" s="519"/>
    </row>
    <row r="97" spans="1:5" hidden="1" x14ac:dyDescent="0.25">
      <c r="A97" s="152" t="s">
        <v>192</v>
      </c>
      <c r="B97" s="132"/>
      <c r="C97" s="132"/>
      <c r="D97" s="132"/>
      <c r="E97" s="519"/>
    </row>
    <row r="98" spans="1:5" hidden="1" x14ac:dyDescent="0.25">
      <c r="A98" s="132" t="s">
        <v>5</v>
      </c>
      <c r="B98" s="132"/>
      <c r="C98" s="132"/>
      <c r="D98" s="132" t="s">
        <v>170</v>
      </c>
      <c r="E98" s="519"/>
    </row>
    <row r="99" spans="1:5" hidden="1" x14ac:dyDescent="0.25">
      <c r="A99" s="1"/>
      <c r="B99" s="1"/>
      <c r="C99" s="1"/>
      <c r="D99" s="1"/>
      <c r="E99" s="463"/>
    </row>
    <row r="100" spans="1:5" ht="15.75" hidden="1" x14ac:dyDescent="0.25">
      <c r="A100" s="141"/>
      <c r="B100" s="141" t="s">
        <v>230</v>
      </c>
      <c r="C100" s="2"/>
      <c r="D100" s="2"/>
    </row>
    <row r="101" spans="1:5" ht="15.75" hidden="1" x14ac:dyDescent="0.25">
      <c r="A101" s="141"/>
      <c r="B101" s="141"/>
      <c r="C101" s="150">
        <v>41506</v>
      </c>
      <c r="D101" s="2"/>
    </row>
    <row r="102" spans="1:5" ht="15.75" hidden="1" x14ac:dyDescent="0.25">
      <c r="A102" s="141"/>
      <c r="B102" s="141"/>
      <c r="C102" s="151" t="s">
        <v>191</v>
      </c>
      <c r="D102" s="2"/>
    </row>
    <row r="103" spans="1:5" hidden="1" x14ac:dyDescent="0.25">
      <c r="A103" s="2" t="s">
        <v>6</v>
      </c>
      <c r="B103" s="2"/>
      <c r="C103" s="2"/>
      <c r="D103" s="2"/>
      <c r="E103" s="522"/>
    </row>
    <row r="104" spans="1:5" hidden="1" x14ac:dyDescent="0.25">
      <c r="A104" s="1" t="s">
        <v>195</v>
      </c>
      <c r="B104" s="1"/>
      <c r="C104" s="1"/>
      <c r="D104" s="1"/>
      <c r="E104" s="463"/>
    </row>
    <row r="105" spans="1:5" hidden="1" x14ac:dyDescent="0.25">
      <c r="A105" s="1" t="s">
        <v>7</v>
      </c>
      <c r="B105" s="1"/>
      <c r="C105" s="1"/>
      <c r="D105" s="1"/>
      <c r="E105" s="463"/>
    </row>
    <row r="106" spans="1:5" hidden="1" x14ac:dyDescent="0.25">
      <c r="A106" s="1"/>
      <c r="B106" s="1"/>
      <c r="C106" s="1"/>
      <c r="D106" s="1"/>
      <c r="E106" s="463"/>
    </row>
    <row r="107" spans="1:5" hidden="1" x14ac:dyDescent="0.25">
      <c r="A107" s="25" t="s">
        <v>8</v>
      </c>
      <c r="B107" s="25" t="s">
        <v>9</v>
      </c>
      <c r="C107" s="25" t="s">
        <v>10</v>
      </c>
      <c r="D107" s="25" t="s">
        <v>11</v>
      </c>
      <c r="E107" s="523" t="s">
        <v>12</v>
      </c>
    </row>
    <row r="108" spans="1:5" hidden="1" x14ac:dyDescent="0.25">
      <c r="A108" s="24">
        <v>1</v>
      </c>
      <c r="B108" s="24">
        <v>2</v>
      </c>
      <c r="C108" s="24">
        <v>3</v>
      </c>
      <c r="D108" s="24">
        <v>4</v>
      </c>
      <c r="E108" s="524">
        <v>5</v>
      </c>
    </row>
    <row r="109" spans="1:5" hidden="1" x14ac:dyDescent="0.25">
      <c r="A109" s="34" t="s">
        <v>13</v>
      </c>
      <c r="B109" s="26" t="s">
        <v>14</v>
      </c>
      <c r="C109" s="26"/>
      <c r="D109" s="26"/>
      <c r="E109" s="525"/>
    </row>
    <row r="110" spans="1:5" ht="17.25" hidden="1" x14ac:dyDescent="0.3">
      <c r="A110" s="34" t="s">
        <v>15</v>
      </c>
      <c r="B110" s="133" t="s">
        <v>183</v>
      </c>
      <c r="C110" s="9" t="s">
        <v>59</v>
      </c>
      <c r="D110" s="135" t="s">
        <v>179</v>
      </c>
      <c r="E110" s="526">
        <f>E111+E112</f>
        <v>21.296519095838562</v>
      </c>
    </row>
    <row r="111" spans="1:5" ht="18.75" hidden="1" x14ac:dyDescent="0.35">
      <c r="A111" s="25" t="s">
        <v>16</v>
      </c>
      <c r="B111" s="24" t="s">
        <v>18</v>
      </c>
      <c r="C111" s="11" t="s">
        <v>59</v>
      </c>
      <c r="D111" s="122" t="s">
        <v>171</v>
      </c>
      <c r="E111" s="527">
        <v>4.57</v>
      </c>
    </row>
    <row r="112" spans="1:5" ht="33" hidden="1" x14ac:dyDescent="0.25">
      <c r="A112" s="35" t="s">
        <v>17</v>
      </c>
      <c r="B112" s="149" t="s">
        <v>19</v>
      </c>
      <c r="C112" s="27" t="s">
        <v>59</v>
      </c>
      <c r="D112" s="28" t="s">
        <v>20</v>
      </c>
      <c r="E112" s="528">
        <f>0.28+((4325*E117+((226+106.1)*E121)+509*E125)/(44.84*1000))/10</f>
        <v>16.726519095838562</v>
      </c>
    </row>
    <row r="113" spans="1:5" hidden="1" x14ac:dyDescent="0.25">
      <c r="A113" s="25" t="s">
        <v>21</v>
      </c>
      <c r="B113" s="30" t="s">
        <v>22</v>
      </c>
      <c r="C113" s="31"/>
      <c r="D113" s="33"/>
      <c r="E113" s="529"/>
    </row>
    <row r="114" spans="1:5" hidden="1" x14ac:dyDescent="0.25">
      <c r="A114" s="47" t="s">
        <v>23</v>
      </c>
      <c r="B114" s="48" t="s">
        <v>24</v>
      </c>
      <c r="C114" s="49"/>
      <c r="D114" s="49"/>
      <c r="E114" s="530"/>
    </row>
    <row r="115" spans="1:5" hidden="1" x14ac:dyDescent="0.25">
      <c r="A115" s="25" t="s">
        <v>25</v>
      </c>
      <c r="B115" s="24" t="s">
        <v>26</v>
      </c>
      <c r="C115" s="32" t="s">
        <v>41</v>
      </c>
      <c r="D115" s="24"/>
      <c r="E115" s="524"/>
    </row>
    <row r="116" spans="1:5" hidden="1" x14ac:dyDescent="0.25">
      <c r="A116" s="25" t="s">
        <v>27</v>
      </c>
      <c r="B116" s="24" t="s">
        <v>28</v>
      </c>
      <c r="C116" s="5" t="s">
        <v>41</v>
      </c>
      <c r="D116" s="24"/>
      <c r="E116" s="524"/>
    </row>
    <row r="117" spans="1:5" hidden="1" x14ac:dyDescent="0.25">
      <c r="A117" s="25" t="s">
        <v>29</v>
      </c>
      <c r="B117" s="38" t="s">
        <v>30</v>
      </c>
      <c r="C117" s="39" t="s">
        <v>41</v>
      </c>
      <c r="D117" s="24"/>
      <c r="E117" s="532">
        <f>Lapas3!D72+37.53+275.02</f>
        <v>1588.8113888888888</v>
      </c>
    </row>
    <row r="118" spans="1:5" hidden="1" x14ac:dyDescent="0.25">
      <c r="A118" s="36" t="s">
        <v>31</v>
      </c>
      <c r="B118" s="41" t="s">
        <v>32</v>
      </c>
      <c r="C118" s="42"/>
      <c r="D118" s="42"/>
      <c r="E118" s="531"/>
    </row>
    <row r="119" spans="1:5" hidden="1" x14ac:dyDescent="0.25">
      <c r="A119" s="25" t="s">
        <v>35</v>
      </c>
      <c r="B119" s="24" t="s">
        <v>26</v>
      </c>
      <c r="C119" s="40" t="s">
        <v>33</v>
      </c>
      <c r="D119" s="24"/>
      <c r="E119" s="524"/>
    </row>
    <row r="120" spans="1:5" hidden="1" x14ac:dyDescent="0.25">
      <c r="A120" s="25" t="s">
        <v>36</v>
      </c>
      <c r="B120" s="24" t="s">
        <v>28</v>
      </c>
      <c r="C120" s="4" t="s">
        <v>33</v>
      </c>
      <c r="D120" s="24"/>
      <c r="E120" s="524"/>
    </row>
    <row r="121" spans="1:5" hidden="1" x14ac:dyDescent="0.25">
      <c r="A121" s="25" t="s">
        <v>37</v>
      </c>
      <c r="B121" s="24" t="s">
        <v>30</v>
      </c>
      <c r="C121" s="43" t="s">
        <v>33</v>
      </c>
      <c r="D121" s="24"/>
      <c r="E121" s="532">
        <f>Lapas3!D108</f>
        <v>327.38101665030621</v>
      </c>
    </row>
    <row r="122" spans="1:5" hidden="1" x14ac:dyDescent="0.25">
      <c r="A122" s="37" t="s">
        <v>34</v>
      </c>
      <c r="B122" s="45" t="s">
        <v>103</v>
      </c>
      <c r="C122" s="46"/>
      <c r="D122" s="46"/>
      <c r="E122" s="533"/>
    </row>
    <row r="123" spans="1:5" hidden="1" x14ac:dyDescent="0.25">
      <c r="A123" s="29" t="s">
        <v>38</v>
      </c>
      <c r="B123" s="44" t="s">
        <v>26</v>
      </c>
      <c r="C123" s="40" t="s">
        <v>33</v>
      </c>
      <c r="D123" s="24"/>
      <c r="E123" s="524"/>
    </row>
    <row r="124" spans="1:5" hidden="1" x14ac:dyDescent="0.25">
      <c r="A124" s="29" t="s">
        <v>39</v>
      </c>
      <c r="B124" s="24" t="s">
        <v>28</v>
      </c>
      <c r="C124" s="4" t="s">
        <v>33</v>
      </c>
      <c r="D124" s="24"/>
      <c r="E124" s="524"/>
    </row>
    <row r="125" spans="1:5" hidden="1" x14ac:dyDescent="0.25">
      <c r="A125" s="21" t="s">
        <v>40</v>
      </c>
      <c r="B125" s="38" t="s">
        <v>30</v>
      </c>
      <c r="C125" s="43" t="s">
        <v>33</v>
      </c>
      <c r="D125" s="24"/>
      <c r="E125" s="524">
        <v>774.63</v>
      </c>
    </row>
    <row r="126" spans="1:5" hidden="1" x14ac:dyDescent="0.25">
      <c r="A126" s="50" t="s">
        <v>42</v>
      </c>
      <c r="B126" s="51" t="s">
        <v>43</v>
      </c>
      <c r="C126" s="52"/>
      <c r="D126" s="52"/>
      <c r="E126" s="534"/>
    </row>
    <row r="127" spans="1:5" hidden="1" x14ac:dyDescent="0.25">
      <c r="A127" s="24" t="s">
        <v>44</v>
      </c>
      <c r="B127" s="24" t="s">
        <v>104</v>
      </c>
      <c r="C127" s="24"/>
      <c r="D127" s="24"/>
      <c r="E127" s="523" t="s">
        <v>106</v>
      </c>
    </row>
    <row r="128" spans="1:5" hidden="1" x14ac:dyDescent="0.25">
      <c r="A128" s="24" t="s">
        <v>45</v>
      </c>
      <c r="B128" s="24" t="s">
        <v>105</v>
      </c>
      <c r="C128" s="11" t="s">
        <v>59</v>
      </c>
      <c r="D128" s="24"/>
      <c r="E128" s="524">
        <v>0</v>
      </c>
    </row>
    <row r="129" spans="1:5" ht="17.25" hidden="1" x14ac:dyDescent="0.3">
      <c r="A129" s="136" t="s">
        <v>46</v>
      </c>
      <c r="B129" s="136" t="s">
        <v>172</v>
      </c>
      <c r="C129" s="139" t="s">
        <v>59</v>
      </c>
      <c r="D129" s="140" t="s">
        <v>181</v>
      </c>
      <c r="E129" s="535"/>
    </row>
    <row r="130" spans="1:5" ht="18.75" hidden="1" x14ac:dyDescent="0.35">
      <c r="A130" s="24" t="s">
        <v>48</v>
      </c>
      <c r="B130" s="24" t="s">
        <v>49</v>
      </c>
      <c r="C130" s="53" t="s">
        <v>59</v>
      </c>
      <c r="D130" s="122" t="s">
        <v>173</v>
      </c>
      <c r="E130" s="532">
        <f>E111</f>
        <v>4.57</v>
      </c>
    </row>
    <row r="131" spans="1:5" ht="33" hidden="1" x14ac:dyDescent="0.25">
      <c r="A131" s="35" t="s">
        <v>50</v>
      </c>
      <c r="B131" s="35" t="s">
        <v>51</v>
      </c>
      <c r="C131" s="27" t="s">
        <v>59</v>
      </c>
      <c r="D131" s="54" t="s">
        <v>20</v>
      </c>
      <c r="E131" s="536">
        <f>E112</f>
        <v>16.726519095838562</v>
      </c>
    </row>
    <row r="132" spans="1:5" hidden="1" x14ac:dyDescent="0.25">
      <c r="A132" s="24" t="s">
        <v>52</v>
      </c>
      <c r="B132" s="55" t="s">
        <v>53</v>
      </c>
      <c r="C132" s="33"/>
      <c r="D132" s="33"/>
      <c r="E132" s="529"/>
    </row>
    <row r="133" spans="1:5" hidden="1" x14ac:dyDescent="0.25">
      <c r="A133" s="24" t="s">
        <v>54</v>
      </c>
      <c r="B133" s="24" t="s">
        <v>55</v>
      </c>
      <c r="C133" s="11" t="s">
        <v>56</v>
      </c>
      <c r="D133" s="24"/>
      <c r="E133" s="524">
        <v>33.57</v>
      </c>
    </row>
    <row r="134" spans="1:5" hidden="1" x14ac:dyDescent="0.25">
      <c r="A134" s="24" t="s">
        <v>57</v>
      </c>
      <c r="B134" s="24" t="s">
        <v>58</v>
      </c>
      <c r="C134" s="11" t="s">
        <v>59</v>
      </c>
      <c r="D134" s="56" t="s">
        <v>47</v>
      </c>
      <c r="E134" s="524"/>
    </row>
    <row r="135" spans="1:5" hidden="1" x14ac:dyDescent="0.25">
      <c r="A135" s="34" t="s">
        <v>60</v>
      </c>
      <c r="B135" s="866" t="s">
        <v>61</v>
      </c>
      <c r="C135" s="867"/>
      <c r="D135" s="867"/>
      <c r="E135" s="868"/>
    </row>
    <row r="136" spans="1:5" ht="17.25" hidden="1" x14ac:dyDescent="0.3">
      <c r="A136" s="12" t="s">
        <v>62</v>
      </c>
      <c r="B136" s="16" t="s">
        <v>182</v>
      </c>
      <c r="C136" s="9" t="s">
        <v>59</v>
      </c>
      <c r="D136" s="140" t="s">
        <v>180</v>
      </c>
      <c r="E136" s="526">
        <f>E137+E138</f>
        <v>6.8807127195178506</v>
      </c>
    </row>
    <row r="137" spans="1:5" ht="18.75" hidden="1" x14ac:dyDescent="0.35">
      <c r="A137" s="13" t="s">
        <v>63</v>
      </c>
      <c r="B137" s="14" t="s">
        <v>64</v>
      </c>
      <c r="C137" s="11" t="s">
        <v>59</v>
      </c>
      <c r="D137" s="122" t="s">
        <v>174</v>
      </c>
      <c r="E137" s="524">
        <v>2.39</v>
      </c>
    </row>
    <row r="138" spans="1:5" ht="18.75" hidden="1" x14ac:dyDescent="0.25">
      <c r="A138" s="13" t="s">
        <v>65</v>
      </c>
      <c r="B138" s="15" t="s">
        <v>66</v>
      </c>
      <c r="C138" s="20"/>
      <c r="D138" s="134" t="s">
        <v>175</v>
      </c>
      <c r="E138" s="532">
        <f>0.39+(7.24*E110/37.6)</f>
        <v>4.49071271951785</v>
      </c>
    </row>
    <row r="139" spans="1:5" hidden="1" x14ac:dyDescent="0.25">
      <c r="A139" s="12" t="s">
        <v>67</v>
      </c>
      <c r="B139" s="16" t="s">
        <v>68</v>
      </c>
      <c r="C139" s="9"/>
      <c r="D139" s="24"/>
      <c r="E139" s="524"/>
    </row>
    <row r="140" spans="1:5" hidden="1" x14ac:dyDescent="0.25">
      <c r="A140" s="12" t="s">
        <v>69</v>
      </c>
      <c r="B140" s="17" t="s">
        <v>55</v>
      </c>
      <c r="C140" s="10" t="s">
        <v>56</v>
      </c>
      <c r="D140" s="24"/>
      <c r="E140" s="524"/>
    </row>
    <row r="141" spans="1:5" ht="18.75" hidden="1" x14ac:dyDescent="0.35">
      <c r="A141" s="12" t="s">
        <v>70</v>
      </c>
      <c r="B141" s="17" t="s">
        <v>71</v>
      </c>
      <c r="C141" s="11" t="s">
        <v>59</v>
      </c>
      <c r="D141" s="122" t="s">
        <v>176</v>
      </c>
      <c r="E141" s="524"/>
    </row>
    <row r="142" spans="1:5" hidden="1" x14ac:dyDescent="0.25">
      <c r="A142" s="126" t="s">
        <v>72</v>
      </c>
      <c r="B142" s="869" t="s">
        <v>73</v>
      </c>
      <c r="C142" s="870"/>
      <c r="D142" s="870"/>
      <c r="E142" s="871"/>
    </row>
    <row r="143" spans="1:5" hidden="1" x14ac:dyDescent="0.25">
      <c r="A143" s="858" t="s">
        <v>79</v>
      </c>
      <c r="B143" s="18" t="s">
        <v>74</v>
      </c>
      <c r="C143" s="11" t="s">
        <v>59</v>
      </c>
      <c r="D143" s="124" t="s">
        <v>106</v>
      </c>
      <c r="E143" s="462">
        <v>0.31</v>
      </c>
    </row>
    <row r="144" spans="1:5" hidden="1" x14ac:dyDescent="0.25">
      <c r="A144" s="872"/>
      <c r="B144" s="19" t="s">
        <v>75</v>
      </c>
      <c r="C144" s="53" t="s">
        <v>76</v>
      </c>
      <c r="D144" s="124" t="s">
        <v>106</v>
      </c>
      <c r="E144" s="462">
        <v>2.3199999999999998</v>
      </c>
    </row>
    <row r="145" spans="1:5" ht="15.75" hidden="1" thickBot="1" x14ac:dyDescent="0.3">
      <c r="A145" s="872"/>
      <c r="B145" s="19" t="s">
        <v>77</v>
      </c>
      <c r="C145" s="123" t="s">
        <v>78</v>
      </c>
      <c r="D145" s="124" t="s">
        <v>106</v>
      </c>
      <c r="E145" s="462">
        <v>46.02</v>
      </c>
    </row>
    <row r="146" spans="1:5" hidden="1" x14ac:dyDescent="0.25">
      <c r="A146" s="126" t="s">
        <v>80</v>
      </c>
      <c r="B146" s="127" t="s">
        <v>81</v>
      </c>
      <c r="C146" s="11" t="s">
        <v>59</v>
      </c>
      <c r="D146" s="62"/>
      <c r="E146" s="462">
        <v>0.12</v>
      </c>
    </row>
    <row r="147" spans="1:5" hidden="1" x14ac:dyDescent="0.25">
      <c r="A147" s="126" t="s">
        <v>82</v>
      </c>
      <c r="B147" s="127" t="s">
        <v>83</v>
      </c>
      <c r="C147" s="11" t="s">
        <v>59</v>
      </c>
      <c r="D147" s="62"/>
      <c r="E147" s="462">
        <v>-0.27</v>
      </c>
    </row>
    <row r="148" spans="1:5" hidden="1" x14ac:dyDescent="0.25">
      <c r="A148" s="126" t="s">
        <v>84</v>
      </c>
      <c r="B148" s="127" t="s">
        <v>177</v>
      </c>
      <c r="C148" s="11" t="s">
        <v>59</v>
      </c>
      <c r="D148" s="62"/>
      <c r="E148" s="538">
        <f>E110+E136+E143+E146+E147</f>
        <v>28.337231815356414</v>
      </c>
    </row>
    <row r="149" spans="1:5" hidden="1" x14ac:dyDescent="0.25">
      <c r="A149" s="126" t="s">
        <v>85</v>
      </c>
      <c r="B149" s="127" t="s">
        <v>86</v>
      </c>
      <c r="C149" s="11" t="s">
        <v>59</v>
      </c>
      <c r="D149" s="62"/>
      <c r="E149" s="462">
        <v>0</v>
      </c>
    </row>
    <row r="150" spans="1:5" hidden="1" x14ac:dyDescent="0.25">
      <c r="A150" s="126" t="s">
        <v>87</v>
      </c>
      <c r="B150" s="127" t="s">
        <v>88</v>
      </c>
      <c r="C150" s="9" t="s">
        <v>59</v>
      </c>
      <c r="D150" s="129"/>
      <c r="E150" s="538">
        <f>E148</f>
        <v>28.337231815356414</v>
      </c>
    </row>
    <row r="151" spans="1:5" hidden="1" x14ac:dyDescent="0.25">
      <c r="A151" s="126" t="s">
        <v>89</v>
      </c>
      <c r="B151" s="127" t="s">
        <v>90</v>
      </c>
      <c r="C151" s="9" t="s">
        <v>59</v>
      </c>
      <c r="D151" s="129"/>
      <c r="E151" s="538">
        <f>E150*1.09</f>
        <v>30.887582678738493</v>
      </c>
    </row>
    <row r="152" spans="1:5" hidden="1" x14ac:dyDescent="0.25">
      <c r="A152" s="126" t="s">
        <v>91</v>
      </c>
      <c r="B152" s="127" t="s">
        <v>92</v>
      </c>
      <c r="C152" s="9" t="s">
        <v>59</v>
      </c>
      <c r="D152" s="129"/>
      <c r="E152" s="538">
        <f>E150</f>
        <v>28.337231815356414</v>
      </c>
    </row>
    <row r="153" spans="1:5" hidden="1" x14ac:dyDescent="0.25">
      <c r="A153" s="126" t="s">
        <v>93</v>
      </c>
      <c r="B153" s="127" t="s">
        <v>94</v>
      </c>
      <c r="C153" s="126" t="s">
        <v>95</v>
      </c>
      <c r="D153" s="129"/>
      <c r="E153" s="538">
        <f>(E152/E59)*100-100</f>
        <v>-0.19500622601812267</v>
      </c>
    </row>
    <row r="154" spans="1:5" hidden="1" x14ac:dyDescent="0.25">
      <c r="A154" s="126" t="s">
        <v>96</v>
      </c>
      <c r="B154" s="128" t="s">
        <v>97</v>
      </c>
      <c r="C154" s="130" t="s">
        <v>98</v>
      </c>
      <c r="D154" s="131"/>
      <c r="E154" s="539">
        <f>1005/1000</f>
        <v>1.0049999999999999</v>
      </c>
    </row>
    <row r="155" spans="1:5" hidden="1" x14ac:dyDescent="0.25">
      <c r="A155" s="126" t="s">
        <v>99</v>
      </c>
      <c r="B155" s="128" t="s">
        <v>100</v>
      </c>
      <c r="C155" s="125" t="s">
        <v>98</v>
      </c>
      <c r="D155" s="62"/>
      <c r="E155" s="539">
        <f>692.2341/1000</f>
        <v>0.69223409999999996</v>
      </c>
    </row>
    <row r="156" spans="1:5" ht="15.75" hidden="1" thickBot="1" x14ac:dyDescent="0.3">
      <c r="A156" s="22" t="s">
        <v>101</v>
      </c>
      <c r="B156" s="23" t="s">
        <v>102</v>
      </c>
      <c r="C156" s="125" t="s">
        <v>98</v>
      </c>
      <c r="D156" s="62"/>
      <c r="E156" s="462">
        <v>0</v>
      </c>
    </row>
    <row r="157" spans="1:5" hidden="1" x14ac:dyDescent="0.25"/>
    <row r="158" spans="1:5" hidden="1" x14ac:dyDescent="0.25"/>
    <row r="159" spans="1:5" hidden="1" x14ac:dyDescent="0.25"/>
    <row r="160" spans="1:5" hidden="1" x14ac:dyDescent="0.25"/>
    <row r="161" spans="2:4" hidden="1" x14ac:dyDescent="0.25">
      <c r="B161" t="s">
        <v>189</v>
      </c>
      <c r="C161" t="s">
        <v>193</v>
      </c>
      <c r="D161" s="146" t="s">
        <v>190</v>
      </c>
    </row>
    <row r="162" spans="2:4" hidden="1" x14ac:dyDescent="0.25">
      <c r="C162" s="153" t="s">
        <v>194</v>
      </c>
    </row>
    <row r="163" spans="2:4" hidden="1" x14ac:dyDescent="0.25"/>
    <row r="164" spans="2:4" hidden="1" x14ac:dyDescent="0.25"/>
    <row r="165" spans="2:4" hidden="1" x14ac:dyDescent="0.25"/>
    <row r="166" spans="2:4" hidden="1" x14ac:dyDescent="0.25"/>
    <row r="167" spans="2:4" hidden="1" x14ac:dyDescent="0.25"/>
    <row r="168" spans="2:4" hidden="1" x14ac:dyDescent="0.25"/>
    <row r="169" spans="2:4" hidden="1" x14ac:dyDescent="0.25"/>
    <row r="170" spans="2:4" hidden="1" x14ac:dyDescent="0.25"/>
    <row r="171" spans="2:4" hidden="1" x14ac:dyDescent="0.25"/>
    <row r="172" spans="2:4" hidden="1" x14ac:dyDescent="0.25"/>
    <row r="173" spans="2:4" hidden="1" x14ac:dyDescent="0.25"/>
    <row r="174" spans="2:4" hidden="1" x14ac:dyDescent="0.25"/>
    <row r="175" spans="2:4" hidden="1" x14ac:dyDescent="0.25"/>
    <row r="176" spans="2:4" hidden="1" x14ac:dyDescent="0.25"/>
    <row r="177" spans="1:5" hidden="1" x14ac:dyDescent="0.25"/>
    <row r="178" spans="1:5" hidden="1" x14ac:dyDescent="0.25"/>
    <row r="179" spans="1:5" hidden="1" x14ac:dyDescent="0.25"/>
    <row r="180" spans="1:5" hidden="1" x14ac:dyDescent="0.25"/>
    <row r="181" spans="1:5" hidden="1" x14ac:dyDescent="0.25"/>
    <row r="182" spans="1:5" hidden="1" x14ac:dyDescent="0.25"/>
    <row r="183" spans="1:5" hidden="1" x14ac:dyDescent="0.25">
      <c r="A183" s="132" t="s">
        <v>0</v>
      </c>
      <c r="B183" s="132"/>
      <c r="C183" s="132"/>
      <c r="D183" s="132"/>
      <c r="E183" s="480" t="s">
        <v>107</v>
      </c>
    </row>
    <row r="184" spans="1:5" hidden="1" x14ac:dyDescent="0.25">
      <c r="A184" s="132" t="s">
        <v>1</v>
      </c>
      <c r="B184" s="132"/>
      <c r="C184" s="132"/>
      <c r="D184" s="132" t="s">
        <v>178</v>
      </c>
      <c r="E184" s="519"/>
    </row>
    <row r="185" spans="1:5" hidden="1" x14ac:dyDescent="0.25">
      <c r="A185" s="132" t="s">
        <v>2</v>
      </c>
      <c r="B185" s="132"/>
      <c r="C185" s="132"/>
      <c r="D185" s="132" t="s">
        <v>167</v>
      </c>
      <c r="E185" s="520"/>
    </row>
    <row r="186" spans="1:5" hidden="1" x14ac:dyDescent="0.25">
      <c r="A186" s="132" t="s">
        <v>3</v>
      </c>
      <c r="B186" s="132"/>
      <c r="C186" s="132"/>
      <c r="D186" s="132" t="s">
        <v>168</v>
      </c>
      <c r="E186" s="519"/>
    </row>
    <row r="187" spans="1:5" hidden="1" x14ac:dyDescent="0.25">
      <c r="A187" s="132" t="s">
        <v>4</v>
      </c>
      <c r="B187" s="132"/>
      <c r="C187" s="132"/>
      <c r="D187" s="132" t="s">
        <v>169</v>
      </c>
      <c r="E187" s="519"/>
    </row>
    <row r="188" spans="1:5" hidden="1" x14ac:dyDescent="0.25">
      <c r="A188" s="152" t="s">
        <v>192</v>
      </c>
      <c r="B188" s="132"/>
      <c r="C188" s="132"/>
      <c r="D188" s="132"/>
      <c r="E188" s="519"/>
    </row>
    <row r="189" spans="1:5" hidden="1" x14ac:dyDescent="0.25">
      <c r="A189" s="132" t="s">
        <v>5</v>
      </c>
      <c r="B189" s="132"/>
      <c r="C189" s="132"/>
      <c r="D189" s="132" t="s">
        <v>170</v>
      </c>
      <c r="E189" s="519"/>
    </row>
    <row r="190" spans="1:5" hidden="1" x14ac:dyDescent="0.25">
      <c r="A190" s="1"/>
      <c r="B190" s="1"/>
      <c r="C190" s="1"/>
      <c r="D190" s="1"/>
      <c r="E190" s="463"/>
    </row>
    <row r="191" spans="1:5" ht="15.75" hidden="1" x14ac:dyDescent="0.25">
      <c r="A191" s="141"/>
      <c r="B191" s="141" t="s">
        <v>233</v>
      </c>
      <c r="C191" s="2"/>
      <c r="D191" s="2"/>
    </row>
    <row r="192" spans="1:5" ht="15.75" hidden="1" x14ac:dyDescent="0.25">
      <c r="A192" s="141"/>
      <c r="B192" s="141"/>
      <c r="C192" s="150">
        <v>41540</v>
      </c>
      <c r="D192" s="2"/>
    </row>
    <row r="193" spans="1:5" ht="15.75" hidden="1" x14ac:dyDescent="0.25">
      <c r="A193" s="141"/>
      <c r="B193" s="141"/>
      <c r="C193" s="151" t="s">
        <v>191</v>
      </c>
      <c r="D193" s="2"/>
    </row>
    <row r="194" spans="1:5" hidden="1" x14ac:dyDescent="0.25">
      <c r="A194" s="2" t="s">
        <v>6</v>
      </c>
      <c r="B194" s="2"/>
      <c r="C194" s="2"/>
      <c r="D194" s="2"/>
      <c r="E194" s="522"/>
    </row>
    <row r="195" spans="1:5" hidden="1" x14ac:dyDescent="0.25">
      <c r="A195" s="1" t="s">
        <v>195</v>
      </c>
      <c r="B195" s="1"/>
      <c r="C195" s="1"/>
      <c r="D195" s="1"/>
      <c r="E195" s="463"/>
    </row>
    <row r="196" spans="1:5" hidden="1" x14ac:dyDescent="0.25">
      <c r="A196" s="1" t="s">
        <v>7</v>
      </c>
      <c r="B196" s="1"/>
      <c r="C196" s="1"/>
      <c r="D196" s="1"/>
      <c r="E196" s="463"/>
    </row>
    <row r="197" spans="1:5" hidden="1" x14ac:dyDescent="0.25">
      <c r="A197" s="1" t="s">
        <v>237</v>
      </c>
      <c r="B197" s="1"/>
      <c r="C197" s="1"/>
      <c r="D197" s="1"/>
      <c r="E197" s="463"/>
    </row>
    <row r="198" spans="1:5" hidden="1" x14ac:dyDescent="0.25">
      <c r="A198" s="25" t="s">
        <v>8</v>
      </c>
      <c r="B198" s="25" t="s">
        <v>9</v>
      </c>
      <c r="C198" s="25" t="s">
        <v>10</v>
      </c>
      <c r="D198" s="25" t="s">
        <v>11</v>
      </c>
      <c r="E198" s="523" t="s">
        <v>12</v>
      </c>
    </row>
    <row r="199" spans="1:5" hidden="1" x14ac:dyDescent="0.25">
      <c r="A199" s="24">
        <v>1</v>
      </c>
      <c r="B199" s="24">
        <v>2</v>
      </c>
      <c r="C199" s="24">
        <v>3</v>
      </c>
      <c r="D199" s="24">
        <v>4</v>
      </c>
      <c r="E199" s="524">
        <v>5</v>
      </c>
    </row>
    <row r="200" spans="1:5" hidden="1" x14ac:dyDescent="0.25">
      <c r="A200" s="34" t="s">
        <v>13</v>
      </c>
      <c r="B200" s="26" t="s">
        <v>14</v>
      </c>
      <c r="C200" s="26"/>
      <c r="D200" s="26"/>
      <c r="E200" s="525"/>
    </row>
    <row r="201" spans="1:5" ht="17.25" hidden="1" x14ac:dyDescent="0.3">
      <c r="A201" s="34" t="s">
        <v>15</v>
      </c>
      <c r="B201" s="133" t="s">
        <v>183</v>
      </c>
      <c r="C201" s="9" t="s">
        <v>59</v>
      </c>
      <c r="D201" s="135" t="s">
        <v>179</v>
      </c>
      <c r="E201" s="526">
        <f>E202+E203</f>
        <v>21.184495908913512</v>
      </c>
    </row>
    <row r="202" spans="1:5" ht="18.75" hidden="1" x14ac:dyDescent="0.35">
      <c r="A202" s="25" t="s">
        <v>16</v>
      </c>
      <c r="B202" s="24" t="s">
        <v>18</v>
      </c>
      <c r="C202" s="11" t="s">
        <v>59</v>
      </c>
      <c r="D202" s="122" t="s">
        <v>171</v>
      </c>
      <c r="E202" s="527">
        <v>4.57</v>
      </c>
    </row>
    <row r="203" spans="1:5" ht="33" hidden="1" x14ac:dyDescent="0.25">
      <c r="A203" s="35" t="s">
        <v>17</v>
      </c>
      <c r="B203" s="149" t="s">
        <v>19</v>
      </c>
      <c r="C203" s="27" t="s">
        <v>59</v>
      </c>
      <c r="D203" s="28" t="s">
        <v>20</v>
      </c>
      <c r="E203" s="528">
        <f>0.28+((4325*E208+((226+106.1)*E212)+509*E216)/(44.84*1000))/10</f>
        <v>16.614495908913511</v>
      </c>
    </row>
    <row r="204" spans="1:5" hidden="1" x14ac:dyDescent="0.25">
      <c r="A204" s="25" t="s">
        <v>21</v>
      </c>
      <c r="B204" s="30" t="s">
        <v>22</v>
      </c>
      <c r="C204" s="31"/>
      <c r="D204" s="33"/>
      <c r="E204" s="529"/>
    </row>
    <row r="205" spans="1:5" hidden="1" x14ac:dyDescent="0.25">
      <c r="A205" s="47" t="s">
        <v>23</v>
      </c>
      <c r="B205" s="48" t="s">
        <v>24</v>
      </c>
      <c r="C205" s="49"/>
      <c r="D205" s="49"/>
      <c r="E205" s="530"/>
    </row>
    <row r="206" spans="1:5" hidden="1" x14ac:dyDescent="0.25">
      <c r="A206" s="25" t="s">
        <v>25</v>
      </c>
      <c r="B206" s="24" t="s">
        <v>26</v>
      </c>
      <c r="C206" s="32" t="s">
        <v>41</v>
      </c>
      <c r="D206" s="24"/>
      <c r="E206" s="524"/>
    </row>
    <row r="207" spans="1:5" hidden="1" x14ac:dyDescent="0.25">
      <c r="A207" s="25" t="s">
        <v>27</v>
      </c>
      <c r="B207" s="24" t="s">
        <v>28</v>
      </c>
      <c r="C207" s="5" t="s">
        <v>41</v>
      </c>
      <c r="D207" s="24"/>
      <c r="E207" s="524"/>
    </row>
    <row r="208" spans="1:5" hidden="1" x14ac:dyDescent="0.25">
      <c r="A208" s="25" t="s">
        <v>29</v>
      </c>
      <c r="B208" s="38" t="s">
        <v>30</v>
      </c>
      <c r="C208" s="39" t="s">
        <v>41</v>
      </c>
      <c r="D208" s="24"/>
      <c r="E208" s="532">
        <f>Lapas3!D132+37.53+275.02</f>
        <v>1572.7130555555557</v>
      </c>
    </row>
    <row r="209" spans="1:5" hidden="1" x14ac:dyDescent="0.25">
      <c r="A209" s="36" t="s">
        <v>31</v>
      </c>
      <c r="B209" s="41" t="s">
        <v>32</v>
      </c>
      <c r="C209" s="42"/>
      <c r="D209" s="42"/>
      <c r="E209" s="531"/>
    </row>
    <row r="210" spans="1:5" hidden="1" x14ac:dyDescent="0.25">
      <c r="A210" s="25" t="s">
        <v>35</v>
      </c>
      <c r="B210" s="24" t="s">
        <v>26</v>
      </c>
      <c r="C210" s="40" t="s">
        <v>33</v>
      </c>
      <c r="D210" s="24"/>
      <c r="E210" s="524"/>
    </row>
    <row r="211" spans="1:5" hidden="1" x14ac:dyDescent="0.25">
      <c r="A211" s="25" t="s">
        <v>36</v>
      </c>
      <c r="B211" s="24" t="s">
        <v>28</v>
      </c>
      <c r="C211" s="4" t="s">
        <v>33</v>
      </c>
      <c r="D211" s="24"/>
      <c r="E211" s="524"/>
    </row>
    <row r="212" spans="1:5" hidden="1" x14ac:dyDescent="0.25">
      <c r="A212" s="25" t="s">
        <v>37</v>
      </c>
      <c r="B212" s="24" t="s">
        <v>30</v>
      </c>
      <c r="C212" s="43" t="s">
        <v>33</v>
      </c>
      <c r="D212" s="24"/>
      <c r="E212" s="532">
        <f>Lapas3!D168</f>
        <v>385.77937452285533</v>
      </c>
    </row>
    <row r="213" spans="1:5" hidden="1" x14ac:dyDescent="0.25">
      <c r="A213" s="37" t="s">
        <v>34</v>
      </c>
      <c r="B213" s="45" t="s">
        <v>103</v>
      </c>
      <c r="C213" s="46"/>
      <c r="D213" s="46"/>
      <c r="E213" s="533"/>
    </row>
    <row r="214" spans="1:5" hidden="1" x14ac:dyDescent="0.25">
      <c r="A214" s="29" t="s">
        <v>38</v>
      </c>
      <c r="B214" s="44" t="s">
        <v>26</v>
      </c>
      <c r="C214" s="40" t="s">
        <v>33</v>
      </c>
      <c r="D214" s="24"/>
      <c r="E214" s="524"/>
    </row>
    <row r="215" spans="1:5" hidden="1" x14ac:dyDescent="0.25">
      <c r="A215" s="29" t="s">
        <v>39</v>
      </c>
      <c r="B215" s="24" t="s">
        <v>28</v>
      </c>
      <c r="C215" s="4" t="s">
        <v>33</v>
      </c>
      <c r="D215" s="24"/>
      <c r="E215" s="524"/>
    </row>
    <row r="216" spans="1:5" hidden="1" x14ac:dyDescent="0.25">
      <c r="A216" s="21" t="s">
        <v>40</v>
      </c>
      <c r="B216" s="38" t="s">
        <v>30</v>
      </c>
      <c r="C216" s="43" t="s">
        <v>33</v>
      </c>
      <c r="D216" s="24"/>
      <c r="E216" s="524">
        <v>774.63</v>
      </c>
    </row>
    <row r="217" spans="1:5" hidden="1" x14ac:dyDescent="0.25">
      <c r="A217" s="50" t="s">
        <v>42</v>
      </c>
      <c r="B217" s="51" t="s">
        <v>43</v>
      </c>
      <c r="C217" s="52"/>
      <c r="D217" s="52"/>
      <c r="E217" s="534"/>
    </row>
    <row r="218" spans="1:5" hidden="1" x14ac:dyDescent="0.25">
      <c r="A218" s="24" t="s">
        <v>44</v>
      </c>
      <c r="B218" s="24" t="s">
        <v>104</v>
      </c>
      <c r="C218" s="24"/>
      <c r="D218" s="24"/>
      <c r="E218" s="523" t="s">
        <v>106</v>
      </c>
    </row>
    <row r="219" spans="1:5" hidden="1" x14ac:dyDescent="0.25">
      <c r="A219" s="24" t="s">
        <v>45</v>
      </c>
      <c r="B219" s="24" t="s">
        <v>105</v>
      </c>
      <c r="C219" s="11" t="s">
        <v>59</v>
      </c>
      <c r="D219" s="24"/>
      <c r="E219" s="524">
        <v>0</v>
      </c>
    </row>
    <row r="220" spans="1:5" ht="17.25" hidden="1" x14ac:dyDescent="0.3">
      <c r="A220" s="136" t="s">
        <v>46</v>
      </c>
      <c r="B220" s="136" t="s">
        <v>172</v>
      </c>
      <c r="C220" s="139" t="s">
        <v>59</v>
      </c>
      <c r="D220" s="140" t="s">
        <v>181</v>
      </c>
      <c r="E220" s="535"/>
    </row>
    <row r="221" spans="1:5" ht="18.75" hidden="1" x14ac:dyDescent="0.35">
      <c r="A221" s="24" t="s">
        <v>48</v>
      </c>
      <c r="B221" s="24" t="s">
        <v>49</v>
      </c>
      <c r="C221" s="53" t="s">
        <v>59</v>
      </c>
      <c r="D221" s="122" t="s">
        <v>173</v>
      </c>
      <c r="E221" s="532">
        <f>E202</f>
        <v>4.57</v>
      </c>
    </row>
    <row r="222" spans="1:5" ht="33" hidden="1" x14ac:dyDescent="0.25">
      <c r="A222" s="35" t="s">
        <v>50</v>
      </c>
      <c r="B222" s="35" t="s">
        <v>51</v>
      </c>
      <c r="C222" s="27" t="s">
        <v>59</v>
      </c>
      <c r="D222" s="54" t="s">
        <v>20</v>
      </c>
      <c r="E222" s="536">
        <f>E203</f>
        <v>16.614495908913511</v>
      </c>
    </row>
    <row r="223" spans="1:5" hidden="1" x14ac:dyDescent="0.25">
      <c r="A223" s="24" t="s">
        <v>52</v>
      </c>
      <c r="B223" s="55" t="s">
        <v>53</v>
      </c>
      <c r="C223" s="33"/>
      <c r="D223" s="33"/>
      <c r="E223" s="529"/>
    </row>
    <row r="224" spans="1:5" hidden="1" x14ac:dyDescent="0.25">
      <c r="A224" s="24" t="s">
        <v>54</v>
      </c>
      <c r="B224" s="24" t="s">
        <v>55</v>
      </c>
      <c r="C224" s="11" t="s">
        <v>56</v>
      </c>
      <c r="D224" s="24"/>
      <c r="E224" s="524">
        <v>33.57</v>
      </c>
    </row>
    <row r="225" spans="1:5" hidden="1" x14ac:dyDescent="0.25">
      <c r="A225" s="24" t="s">
        <v>57</v>
      </c>
      <c r="B225" s="24" t="s">
        <v>58</v>
      </c>
      <c r="C225" s="11" t="s">
        <v>59</v>
      </c>
      <c r="D225" s="56" t="s">
        <v>47</v>
      </c>
      <c r="E225" s="524"/>
    </row>
    <row r="226" spans="1:5" hidden="1" x14ac:dyDescent="0.25">
      <c r="A226" s="34" t="s">
        <v>60</v>
      </c>
      <c r="B226" s="866" t="s">
        <v>61</v>
      </c>
      <c r="C226" s="867"/>
      <c r="D226" s="867"/>
      <c r="E226" s="868"/>
    </row>
    <row r="227" spans="1:5" ht="17.25" hidden="1" x14ac:dyDescent="0.3">
      <c r="A227" s="12" t="s">
        <v>62</v>
      </c>
      <c r="B227" s="16" t="s">
        <v>182</v>
      </c>
      <c r="C227" s="9" t="s">
        <v>59</v>
      </c>
      <c r="D227" s="140" t="s">
        <v>180</v>
      </c>
      <c r="E227" s="526">
        <f>E228+E229</f>
        <v>6.859142297354623</v>
      </c>
    </row>
    <row r="228" spans="1:5" ht="18.75" hidden="1" x14ac:dyDescent="0.35">
      <c r="A228" s="13" t="s">
        <v>63</v>
      </c>
      <c r="B228" s="14" t="s">
        <v>64</v>
      </c>
      <c r="C228" s="11" t="s">
        <v>59</v>
      </c>
      <c r="D228" s="122" t="s">
        <v>174</v>
      </c>
      <c r="E228" s="524">
        <v>2.39</v>
      </c>
    </row>
    <row r="229" spans="1:5" ht="18.75" hidden="1" x14ac:dyDescent="0.25">
      <c r="A229" s="13" t="s">
        <v>65</v>
      </c>
      <c r="B229" s="15" t="s">
        <v>66</v>
      </c>
      <c r="C229" s="20"/>
      <c r="D229" s="134" t="s">
        <v>175</v>
      </c>
      <c r="E229" s="532">
        <f>0.39+(7.24*E201/37.6)</f>
        <v>4.4691422973546224</v>
      </c>
    </row>
    <row r="230" spans="1:5" hidden="1" x14ac:dyDescent="0.25">
      <c r="A230" s="12" t="s">
        <v>67</v>
      </c>
      <c r="B230" s="16" t="s">
        <v>68</v>
      </c>
      <c r="C230" s="9"/>
      <c r="D230" s="24"/>
      <c r="E230" s="524"/>
    </row>
    <row r="231" spans="1:5" hidden="1" x14ac:dyDescent="0.25">
      <c r="A231" s="12" t="s">
        <v>69</v>
      </c>
      <c r="B231" s="17" t="s">
        <v>55</v>
      </c>
      <c r="C231" s="10" t="s">
        <v>56</v>
      </c>
      <c r="D231" s="24"/>
      <c r="E231" s="524"/>
    </row>
    <row r="232" spans="1:5" ht="18.75" hidden="1" x14ac:dyDescent="0.35">
      <c r="A232" s="12" t="s">
        <v>70</v>
      </c>
      <c r="B232" s="17" t="s">
        <v>71</v>
      </c>
      <c r="C232" s="11" t="s">
        <v>59</v>
      </c>
      <c r="D232" s="122" t="s">
        <v>176</v>
      </c>
      <c r="E232" s="524"/>
    </row>
    <row r="233" spans="1:5" hidden="1" x14ac:dyDescent="0.25">
      <c r="A233" s="126" t="s">
        <v>72</v>
      </c>
      <c r="B233" s="869" t="s">
        <v>73</v>
      </c>
      <c r="C233" s="870"/>
      <c r="D233" s="870"/>
      <c r="E233" s="871"/>
    </row>
    <row r="234" spans="1:5" hidden="1" x14ac:dyDescent="0.25">
      <c r="A234" s="858" t="s">
        <v>79</v>
      </c>
      <c r="B234" s="18" t="s">
        <v>74</v>
      </c>
      <c r="C234" s="11" t="s">
        <v>59</v>
      </c>
      <c r="D234" s="124" t="s">
        <v>106</v>
      </c>
      <c r="E234" s="462">
        <v>0.31</v>
      </c>
    </row>
    <row r="235" spans="1:5" hidden="1" x14ac:dyDescent="0.25">
      <c r="A235" s="872"/>
      <c r="B235" s="19" t="s">
        <v>75</v>
      </c>
      <c r="C235" s="53" t="s">
        <v>76</v>
      </c>
      <c r="D235" s="124" t="s">
        <v>106</v>
      </c>
      <c r="E235" s="462">
        <v>2.3199999999999998</v>
      </c>
    </row>
    <row r="236" spans="1:5" ht="15.75" hidden="1" thickBot="1" x14ac:dyDescent="0.3">
      <c r="A236" s="872"/>
      <c r="B236" s="19" t="s">
        <v>77</v>
      </c>
      <c r="C236" s="123" t="s">
        <v>78</v>
      </c>
      <c r="D236" s="124" t="s">
        <v>106</v>
      </c>
      <c r="E236" s="462">
        <v>46.02</v>
      </c>
    </row>
    <row r="237" spans="1:5" hidden="1" x14ac:dyDescent="0.25">
      <c r="A237" s="126" t="s">
        <v>80</v>
      </c>
      <c r="B237" s="127" t="s">
        <v>81</v>
      </c>
      <c r="C237" s="11" t="s">
        <v>59</v>
      </c>
      <c r="D237" s="62"/>
      <c r="E237" s="462">
        <v>0.12</v>
      </c>
    </row>
    <row r="238" spans="1:5" hidden="1" x14ac:dyDescent="0.25">
      <c r="A238" s="126" t="s">
        <v>82</v>
      </c>
      <c r="B238" s="127" t="s">
        <v>83</v>
      </c>
      <c r="C238" s="11" t="s">
        <v>59</v>
      </c>
      <c r="D238" s="62"/>
      <c r="E238" s="462">
        <v>-0.27</v>
      </c>
    </row>
    <row r="239" spans="1:5" hidden="1" x14ac:dyDescent="0.25">
      <c r="A239" s="126" t="s">
        <v>84</v>
      </c>
      <c r="B239" s="127" t="s">
        <v>177</v>
      </c>
      <c r="C239" s="11" t="s">
        <v>59</v>
      </c>
      <c r="D239" s="62"/>
      <c r="E239" s="538">
        <f>E201+E227+E234+E237+E238</f>
        <v>28.203638206268135</v>
      </c>
    </row>
    <row r="240" spans="1:5" hidden="1" x14ac:dyDescent="0.25">
      <c r="A240" s="126" t="s">
        <v>85</v>
      </c>
      <c r="B240" s="127" t="s">
        <v>86</v>
      </c>
      <c r="C240" s="11" t="s">
        <v>59</v>
      </c>
      <c r="D240" s="62"/>
      <c r="E240" s="462">
        <v>0</v>
      </c>
    </row>
    <row r="241" spans="1:5" hidden="1" x14ac:dyDescent="0.25">
      <c r="A241" s="126" t="s">
        <v>87</v>
      </c>
      <c r="B241" s="127" t="s">
        <v>88</v>
      </c>
      <c r="C241" s="9" t="s">
        <v>59</v>
      </c>
      <c r="D241" s="129"/>
      <c r="E241" s="538">
        <f>E239</f>
        <v>28.203638206268135</v>
      </c>
    </row>
    <row r="242" spans="1:5" hidden="1" x14ac:dyDescent="0.25">
      <c r="A242" s="126" t="s">
        <v>89</v>
      </c>
      <c r="B242" s="127" t="s">
        <v>90</v>
      </c>
      <c r="C242" s="9" t="s">
        <v>59</v>
      </c>
      <c r="D242" s="129"/>
      <c r="E242" s="538">
        <f>E241*1.09</f>
        <v>30.74196564483227</v>
      </c>
    </row>
    <row r="243" spans="1:5" hidden="1" x14ac:dyDescent="0.25">
      <c r="A243" s="126" t="s">
        <v>91</v>
      </c>
      <c r="B243" s="127" t="s">
        <v>92</v>
      </c>
      <c r="C243" s="9" t="s">
        <v>59</v>
      </c>
      <c r="D243" s="129"/>
      <c r="E243" s="538">
        <f>E152</f>
        <v>28.337231815356414</v>
      </c>
    </row>
    <row r="244" spans="1:5" hidden="1" x14ac:dyDescent="0.25">
      <c r="A244" s="126" t="s">
        <v>93</v>
      </c>
      <c r="B244" s="127" t="s">
        <v>94</v>
      </c>
      <c r="C244" s="126" t="s">
        <v>95</v>
      </c>
      <c r="D244" s="129"/>
      <c r="E244" s="538">
        <f>(28.2/28.34)*100-100</f>
        <v>-0.49400141143260612</v>
      </c>
    </row>
    <row r="245" spans="1:5" hidden="1" x14ac:dyDescent="0.25">
      <c r="A245" s="126" t="s">
        <v>96</v>
      </c>
      <c r="B245" s="128" t="s">
        <v>97</v>
      </c>
      <c r="C245" s="130" t="s">
        <v>98</v>
      </c>
      <c r="D245" s="131"/>
      <c r="E245" s="539">
        <f>1004/1000</f>
        <v>1.004</v>
      </c>
    </row>
    <row r="246" spans="1:5" hidden="1" x14ac:dyDescent="0.25">
      <c r="A246" s="126" t="s">
        <v>99</v>
      </c>
      <c r="B246" s="128" t="s">
        <v>100</v>
      </c>
      <c r="C246" s="125" t="s">
        <v>98</v>
      </c>
      <c r="D246" s="62"/>
      <c r="E246" s="539">
        <f>635.29/1000</f>
        <v>0.63528999999999991</v>
      </c>
    </row>
    <row r="247" spans="1:5" ht="15.75" hidden="1" thickBot="1" x14ac:dyDescent="0.3">
      <c r="A247" s="22" t="s">
        <v>101</v>
      </c>
      <c r="B247" s="23" t="s">
        <v>102</v>
      </c>
      <c r="C247" s="125" t="s">
        <v>98</v>
      </c>
      <c r="D247" s="62"/>
      <c r="E247" s="462">
        <v>0</v>
      </c>
    </row>
    <row r="248" spans="1:5" hidden="1" x14ac:dyDescent="0.25"/>
    <row r="249" spans="1:5" hidden="1" x14ac:dyDescent="0.25"/>
    <row r="250" spans="1:5" hidden="1" x14ac:dyDescent="0.25"/>
    <row r="251" spans="1:5" hidden="1" x14ac:dyDescent="0.25"/>
    <row r="252" spans="1:5" hidden="1" x14ac:dyDescent="0.25">
      <c r="B252" t="s">
        <v>235</v>
      </c>
      <c r="C252" t="s">
        <v>193</v>
      </c>
      <c r="D252" s="235" t="s">
        <v>236</v>
      </c>
    </row>
    <row r="253" spans="1:5" hidden="1" x14ac:dyDescent="0.25">
      <c r="C253" s="153" t="s">
        <v>194</v>
      </c>
    </row>
    <row r="254" spans="1:5" hidden="1" x14ac:dyDescent="0.25"/>
    <row r="255" spans="1:5" hidden="1" x14ac:dyDescent="0.25"/>
    <row r="256" spans="1:5"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spans="1:5" hidden="1" x14ac:dyDescent="0.25"/>
    <row r="274" spans="1:5" hidden="1" x14ac:dyDescent="0.25">
      <c r="A274" s="132" t="s">
        <v>0</v>
      </c>
      <c r="B274" s="132"/>
      <c r="C274" s="132"/>
      <c r="D274" s="132"/>
      <c r="E274" s="480" t="s">
        <v>107</v>
      </c>
    </row>
    <row r="275" spans="1:5" hidden="1" x14ac:dyDescent="0.25">
      <c r="A275" s="132" t="s">
        <v>1</v>
      </c>
      <c r="B275" s="132"/>
      <c r="C275" s="132"/>
      <c r="D275" s="132" t="s">
        <v>178</v>
      </c>
      <c r="E275" s="519"/>
    </row>
    <row r="276" spans="1:5" hidden="1" x14ac:dyDescent="0.25">
      <c r="A276" s="132" t="s">
        <v>2</v>
      </c>
      <c r="B276" s="132"/>
      <c r="C276" s="132"/>
      <c r="D276" s="132" t="s">
        <v>167</v>
      </c>
      <c r="E276" s="520"/>
    </row>
    <row r="277" spans="1:5" hidden="1" x14ac:dyDescent="0.25">
      <c r="A277" s="132" t="s">
        <v>3</v>
      </c>
      <c r="B277" s="132"/>
      <c r="C277" s="132"/>
      <c r="D277" s="132" t="s">
        <v>168</v>
      </c>
      <c r="E277" s="519"/>
    </row>
    <row r="278" spans="1:5" hidden="1" x14ac:dyDescent="0.25">
      <c r="A278" s="132" t="s">
        <v>4</v>
      </c>
      <c r="B278" s="132"/>
      <c r="C278" s="132"/>
      <c r="D278" s="132" t="s">
        <v>169</v>
      </c>
      <c r="E278" s="519"/>
    </row>
    <row r="279" spans="1:5" hidden="1" x14ac:dyDescent="0.25">
      <c r="A279" s="152" t="s">
        <v>192</v>
      </c>
      <c r="B279" s="132"/>
      <c r="C279" s="132"/>
      <c r="D279" s="132"/>
      <c r="E279" s="519"/>
    </row>
    <row r="280" spans="1:5" hidden="1" x14ac:dyDescent="0.25">
      <c r="A280" s="132" t="s">
        <v>5</v>
      </c>
      <c r="B280" s="132"/>
      <c r="C280" s="132"/>
      <c r="D280" s="132" t="s">
        <v>170</v>
      </c>
      <c r="E280" s="519"/>
    </row>
    <row r="281" spans="1:5" hidden="1" x14ac:dyDescent="0.25">
      <c r="A281" s="1"/>
      <c r="B281" s="1"/>
      <c r="C281" s="1"/>
      <c r="D281" s="1"/>
      <c r="E281" s="463"/>
    </row>
    <row r="282" spans="1:5" ht="15.75" hidden="1" x14ac:dyDescent="0.25">
      <c r="A282" s="141"/>
      <c r="B282" s="141" t="s">
        <v>240</v>
      </c>
      <c r="C282" s="2"/>
      <c r="D282" s="2"/>
    </row>
    <row r="283" spans="1:5" ht="15.75" hidden="1" x14ac:dyDescent="0.25">
      <c r="A283" s="141"/>
      <c r="B283" s="141"/>
      <c r="C283" s="150">
        <v>41568</v>
      </c>
      <c r="D283" s="2"/>
    </row>
    <row r="284" spans="1:5" ht="15.75" hidden="1" x14ac:dyDescent="0.25">
      <c r="A284" s="141"/>
      <c r="B284" s="141"/>
      <c r="C284" s="151" t="s">
        <v>191</v>
      </c>
      <c r="D284" s="2"/>
    </row>
    <row r="285" spans="1:5" hidden="1" x14ac:dyDescent="0.25">
      <c r="A285" s="2" t="s">
        <v>6</v>
      </c>
      <c r="B285" s="2"/>
      <c r="C285" s="2"/>
      <c r="D285" s="2"/>
      <c r="E285" s="522"/>
    </row>
    <row r="286" spans="1:5" hidden="1" x14ac:dyDescent="0.25">
      <c r="A286" s="1" t="s">
        <v>195</v>
      </c>
      <c r="B286" s="1"/>
      <c r="C286" s="1"/>
      <c r="D286" s="1"/>
      <c r="E286" s="463"/>
    </row>
    <row r="287" spans="1:5" hidden="1" x14ac:dyDescent="0.25">
      <c r="A287" s="1" t="s">
        <v>7</v>
      </c>
      <c r="B287" s="1"/>
      <c r="C287" s="1"/>
      <c r="D287" s="1"/>
      <c r="E287" s="463"/>
    </row>
    <row r="288" spans="1:5" hidden="1" x14ac:dyDescent="0.25">
      <c r="A288" s="237" t="s">
        <v>237</v>
      </c>
      <c r="B288" s="237"/>
      <c r="C288" s="237"/>
      <c r="D288" s="237"/>
      <c r="E288" s="463"/>
    </row>
    <row r="289" spans="1:5" hidden="1" x14ac:dyDescent="0.25">
      <c r="A289" s="25" t="s">
        <v>8</v>
      </c>
      <c r="B289" s="25" t="s">
        <v>9</v>
      </c>
      <c r="C289" s="25" t="s">
        <v>10</v>
      </c>
      <c r="D289" s="25" t="s">
        <v>11</v>
      </c>
      <c r="E289" s="523" t="s">
        <v>12</v>
      </c>
    </row>
    <row r="290" spans="1:5" hidden="1" x14ac:dyDescent="0.25">
      <c r="A290" s="24">
        <v>1</v>
      </c>
      <c r="B290" s="24">
        <v>2</v>
      </c>
      <c r="C290" s="24">
        <v>3</v>
      </c>
      <c r="D290" s="24">
        <v>4</v>
      </c>
      <c r="E290" s="524">
        <v>5</v>
      </c>
    </row>
    <row r="291" spans="1:5" hidden="1" x14ac:dyDescent="0.25">
      <c r="A291" s="34" t="s">
        <v>13</v>
      </c>
      <c r="B291" s="26" t="s">
        <v>14</v>
      </c>
      <c r="C291" s="26"/>
      <c r="D291" s="26"/>
      <c r="E291" s="525"/>
    </row>
    <row r="292" spans="1:5" ht="17.25" hidden="1" x14ac:dyDescent="0.3">
      <c r="A292" s="34" t="s">
        <v>15</v>
      </c>
      <c r="B292" s="133" t="s">
        <v>183</v>
      </c>
      <c r="C292" s="9" t="s">
        <v>59</v>
      </c>
      <c r="D292" s="135" t="s">
        <v>179</v>
      </c>
      <c r="E292" s="526">
        <f>E293+E294</f>
        <v>21.023982316727285</v>
      </c>
    </row>
    <row r="293" spans="1:5" ht="18.75" hidden="1" x14ac:dyDescent="0.35">
      <c r="A293" s="25" t="s">
        <v>16</v>
      </c>
      <c r="B293" s="24" t="s">
        <v>18</v>
      </c>
      <c r="C293" s="11" t="s">
        <v>59</v>
      </c>
      <c r="D293" s="122" t="s">
        <v>171</v>
      </c>
      <c r="E293" s="527">
        <v>4.57</v>
      </c>
    </row>
    <row r="294" spans="1:5" ht="33" hidden="1" x14ac:dyDescent="0.25">
      <c r="A294" s="35" t="s">
        <v>17</v>
      </c>
      <c r="B294" s="149" t="s">
        <v>19</v>
      </c>
      <c r="C294" s="27" t="s">
        <v>59</v>
      </c>
      <c r="D294" s="28" t="s">
        <v>20</v>
      </c>
      <c r="E294" s="528">
        <f>0.28+((4325*E299+((226+106.1)*E303)+509*E307)/(44.84*1000))/10</f>
        <v>16.453982316727284</v>
      </c>
    </row>
    <row r="295" spans="1:5" hidden="1" x14ac:dyDescent="0.25">
      <c r="A295" s="25" t="s">
        <v>21</v>
      </c>
      <c r="B295" s="30" t="s">
        <v>22</v>
      </c>
      <c r="C295" s="31"/>
      <c r="D295" s="33"/>
      <c r="E295" s="529"/>
    </row>
    <row r="296" spans="1:5" hidden="1" x14ac:dyDescent="0.25">
      <c r="A296" s="47" t="s">
        <v>23</v>
      </c>
      <c r="B296" s="48" t="s">
        <v>24</v>
      </c>
      <c r="C296" s="49"/>
      <c r="D296" s="49"/>
      <c r="E296" s="530"/>
    </row>
    <row r="297" spans="1:5" hidden="1" x14ac:dyDescent="0.25">
      <c r="A297" s="25" t="s">
        <v>25</v>
      </c>
      <c r="B297" s="24" t="s">
        <v>26</v>
      </c>
      <c r="C297" s="32" t="s">
        <v>41</v>
      </c>
      <c r="D297" s="24"/>
      <c r="E297" s="532">
        <f>Lapas3!D197</f>
        <v>1231.811794871795</v>
      </c>
    </row>
    <row r="298" spans="1:5" hidden="1" x14ac:dyDescent="0.25">
      <c r="A298" s="25" t="s">
        <v>27</v>
      </c>
      <c r="B298" s="24" t="s">
        <v>28</v>
      </c>
      <c r="C298" s="5" t="s">
        <v>41</v>
      </c>
      <c r="D298" s="24"/>
      <c r="E298" s="524">
        <f>275.02+37.53</f>
        <v>312.54999999999995</v>
      </c>
    </row>
    <row r="299" spans="1:5" hidden="1" x14ac:dyDescent="0.25">
      <c r="A299" s="25" t="s">
        <v>29</v>
      </c>
      <c r="B299" s="38" t="s">
        <v>30</v>
      </c>
      <c r="C299" s="39" t="s">
        <v>41</v>
      </c>
      <c r="D299" s="24"/>
      <c r="E299" s="532">
        <f>E297+E298</f>
        <v>1544.3617948717949</v>
      </c>
    </row>
    <row r="300" spans="1:5" hidden="1" x14ac:dyDescent="0.25">
      <c r="A300" s="36" t="s">
        <v>31</v>
      </c>
      <c r="B300" s="41" t="s">
        <v>32</v>
      </c>
      <c r="C300" s="42"/>
      <c r="D300" s="42"/>
      <c r="E300" s="531"/>
    </row>
    <row r="301" spans="1:5" hidden="1" x14ac:dyDescent="0.25">
      <c r="A301" s="25" t="s">
        <v>35</v>
      </c>
      <c r="B301" s="24" t="s">
        <v>26</v>
      </c>
      <c r="C301" s="40" t="s">
        <v>33</v>
      </c>
      <c r="D301" s="24"/>
      <c r="E301" s="524"/>
    </row>
    <row r="302" spans="1:5" hidden="1" x14ac:dyDescent="0.25">
      <c r="A302" s="25" t="s">
        <v>36</v>
      </c>
      <c r="B302" s="24" t="s">
        <v>28</v>
      </c>
      <c r="C302" s="4" t="s">
        <v>33</v>
      </c>
      <c r="D302" s="24"/>
      <c r="E302" s="524"/>
    </row>
    <row r="303" spans="1:5" hidden="1" x14ac:dyDescent="0.25">
      <c r="A303" s="25" t="s">
        <v>37</v>
      </c>
      <c r="B303" s="24" t="s">
        <v>30</v>
      </c>
      <c r="C303" s="43" t="s">
        <v>33</v>
      </c>
      <c r="D303" s="24"/>
      <c r="E303" s="532">
        <v>517.48</v>
      </c>
    </row>
    <row r="304" spans="1:5" hidden="1" x14ac:dyDescent="0.25">
      <c r="A304" s="37" t="s">
        <v>34</v>
      </c>
      <c r="B304" s="45" t="s">
        <v>103</v>
      </c>
      <c r="C304" s="46"/>
      <c r="D304" s="46"/>
      <c r="E304" s="533"/>
    </row>
    <row r="305" spans="1:5" hidden="1" x14ac:dyDescent="0.25">
      <c r="A305" s="29" t="s">
        <v>38</v>
      </c>
      <c r="B305" s="44" t="s">
        <v>26</v>
      </c>
      <c r="C305" s="40" t="s">
        <v>33</v>
      </c>
      <c r="D305" s="24"/>
      <c r="E305" s="524"/>
    </row>
    <row r="306" spans="1:5" hidden="1" x14ac:dyDescent="0.25">
      <c r="A306" s="29" t="s">
        <v>39</v>
      </c>
      <c r="B306" s="24" t="s">
        <v>28</v>
      </c>
      <c r="C306" s="4" t="s">
        <v>33</v>
      </c>
      <c r="D306" s="24"/>
      <c r="E306" s="524"/>
    </row>
    <row r="307" spans="1:5" hidden="1" x14ac:dyDescent="0.25">
      <c r="A307" s="21" t="s">
        <v>40</v>
      </c>
      <c r="B307" s="38" t="s">
        <v>30</v>
      </c>
      <c r="C307" s="43" t="s">
        <v>33</v>
      </c>
      <c r="D307" s="24"/>
      <c r="E307" s="524">
        <v>788.2</v>
      </c>
    </row>
    <row r="308" spans="1:5" hidden="1" x14ac:dyDescent="0.25">
      <c r="A308" s="50" t="s">
        <v>42</v>
      </c>
      <c r="B308" s="51" t="s">
        <v>43</v>
      </c>
      <c r="C308" s="52"/>
      <c r="D308" s="52"/>
      <c r="E308" s="534"/>
    </row>
    <row r="309" spans="1:5" hidden="1" x14ac:dyDescent="0.25">
      <c r="A309" s="24" t="s">
        <v>44</v>
      </c>
      <c r="B309" s="24" t="s">
        <v>104</v>
      </c>
      <c r="C309" s="24"/>
      <c r="D309" s="24"/>
      <c r="E309" s="523" t="s">
        <v>106</v>
      </c>
    </row>
    <row r="310" spans="1:5" hidden="1" x14ac:dyDescent="0.25">
      <c r="A310" s="24" t="s">
        <v>45</v>
      </c>
      <c r="B310" s="24" t="s">
        <v>105</v>
      </c>
      <c r="C310" s="11" t="s">
        <v>59</v>
      </c>
      <c r="D310" s="24"/>
      <c r="E310" s="524">
        <v>0</v>
      </c>
    </row>
    <row r="311" spans="1:5" ht="17.25" hidden="1" x14ac:dyDescent="0.3">
      <c r="A311" s="136" t="s">
        <v>46</v>
      </c>
      <c r="B311" s="136" t="s">
        <v>172</v>
      </c>
      <c r="C311" s="139" t="s">
        <v>59</v>
      </c>
      <c r="D311" s="140" t="s">
        <v>181</v>
      </c>
      <c r="E311" s="535"/>
    </row>
    <row r="312" spans="1:5" ht="18.75" hidden="1" x14ac:dyDescent="0.35">
      <c r="A312" s="24" t="s">
        <v>48</v>
      </c>
      <c r="B312" s="24" t="s">
        <v>49</v>
      </c>
      <c r="C312" s="53" t="s">
        <v>59</v>
      </c>
      <c r="D312" s="122" t="s">
        <v>173</v>
      </c>
      <c r="E312" s="532">
        <f>E293</f>
        <v>4.57</v>
      </c>
    </row>
    <row r="313" spans="1:5" ht="33" hidden="1" x14ac:dyDescent="0.25">
      <c r="A313" s="35" t="s">
        <v>50</v>
      </c>
      <c r="B313" s="35" t="s">
        <v>51</v>
      </c>
      <c r="C313" s="27" t="s">
        <v>59</v>
      </c>
      <c r="D313" s="54" t="s">
        <v>20</v>
      </c>
      <c r="E313" s="536">
        <f>E294</f>
        <v>16.453982316727284</v>
      </c>
    </row>
    <row r="314" spans="1:5" hidden="1" x14ac:dyDescent="0.25">
      <c r="A314" s="24" t="s">
        <v>52</v>
      </c>
      <c r="B314" s="55" t="s">
        <v>53</v>
      </c>
      <c r="C314" s="33"/>
      <c r="D314" s="33"/>
      <c r="E314" s="529"/>
    </row>
    <row r="315" spans="1:5" hidden="1" x14ac:dyDescent="0.25">
      <c r="A315" s="24" t="s">
        <v>54</v>
      </c>
      <c r="B315" s="24" t="s">
        <v>55</v>
      </c>
      <c r="C315" s="11" t="s">
        <v>56</v>
      </c>
      <c r="D315" s="24"/>
      <c r="E315" s="524">
        <v>33.57</v>
      </c>
    </row>
    <row r="316" spans="1:5" hidden="1" x14ac:dyDescent="0.25">
      <c r="A316" s="24" t="s">
        <v>57</v>
      </c>
      <c r="B316" s="24" t="s">
        <v>58</v>
      </c>
      <c r="C316" s="11" t="s">
        <v>59</v>
      </c>
      <c r="D316" s="56" t="s">
        <v>47</v>
      </c>
      <c r="E316" s="524"/>
    </row>
    <row r="317" spans="1:5" hidden="1" x14ac:dyDescent="0.25">
      <c r="A317" s="34" t="s">
        <v>60</v>
      </c>
      <c r="B317" s="866" t="s">
        <v>61</v>
      </c>
      <c r="C317" s="867"/>
      <c r="D317" s="867"/>
      <c r="E317" s="868"/>
    </row>
    <row r="318" spans="1:5" ht="17.25" hidden="1" x14ac:dyDescent="0.3">
      <c r="A318" s="12" t="s">
        <v>62</v>
      </c>
      <c r="B318" s="16" t="s">
        <v>182</v>
      </c>
      <c r="C318" s="9" t="s">
        <v>59</v>
      </c>
      <c r="D318" s="140" t="s">
        <v>180</v>
      </c>
      <c r="E318" s="526">
        <f>E319+E320</f>
        <v>6.8282348929017438</v>
      </c>
    </row>
    <row r="319" spans="1:5" ht="18.75" hidden="1" x14ac:dyDescent="0.35">
      <c r="A319" s="13" t="s">
        <v>63</v>
      </c>
      <c r="B319" s="14" t="s">
        <v>64</v>
      </c>
      <c r="C319" s="11" t="s">
        <v>59</v>
      </c>
      <c r="D319" s="122" t="s">
        <v>174</v>
      </c>
      <c r="E319" s="524">
        <v>2.39</v>
      </c>
    </row>
    <row r="320" spans="1:5" ht="18.75" hidden="1" x14ac:dyDescent="0.25">
      <c r="A320" s="13" t="s">
        <v>65</v>
      </c>
      <c r="B320" s="15" t="s">
        <v>66</v>
      </c>
      <c r="C320" s="20"/>
      <c r="D320" s="134" t="s">
        <v>175</v>
      </c>
      <c r="E320" s="532">
        <f>0.39+(7.24*E292/37.6)</f>
        <v>4.4382348929017432</v>
      </c>
    </row>
    <row r="321" spans="1:5" hidden="1" x14ac:dyDescent="0.25">
      <c r="A321" s="12" t="s">
        <v>67</v>
      </c>
      <c r="B321" s="16" t="s">
        <v>68</v>
      </c>
      <c r="C321" s="9"/>
      <c r="D321" s="24"/>
      <c r="E321" s="524"/>
    </row>
    <row r="322" spans="1:5" hidden="1" x14ac:dyDescent="0.25">
      <c r="A322" s="12" t="s">
        <v>69</v>
      </c>
      <c r="B322" s="17" t="s">
        <v>55</v>
      </c>
      <c r="C322" s="10" t="s">
        <v>56</v>
      </c>
      <c r="D322" s="24"/>
      <c r="E322" s="524"/>
    </row>
    <row r="323" spans="1:5" ht="18.75" hidden="1" x14ac:dyDescent="0.35">
      <c r="A323" s="12" t="s">
        <v>70</v>
      </c>
      <c r="B323" s="17" t="s">
        <v>71</v>
      </c>
      <c r="C323" s="11" t="s">
        <v>59</v>
      </c>
      <c r="D323" s="122" t="s">
        <v>176</v>
      </c>
      <c r="E323" s="524"/>
    </row>
    <row r="324" spans="1:5" hidden="1" x14ac:dyDescent="0.25">
      <c r="A324" s="126" t="s">
        <v>72</v>
      </c>
      <c r="B324" s="869" t="s">
        <v>73</v>
      </c>
      <c r="C324" s="870"/>
      <c r="D324" s="870"/>
      <c r="E324" s="871"/>
    </row>
    <row r="325" spans="1:5" hidden="1" x14ac:dyDescent="0.25">
      <c r="A325" s="858" t="s">
        <v>79</v>
      </c>
      <c r="B325" s="18" t="s">
        <v>74</v>
      </c>
      <c r="C325" s="11" t="s">
        <v>59</v>
      </c>
      <c r="D325" s="124" t="s">
        <v>106</v>
      </c>
      <c r="E325" s="462">
        <v>0.31</v>
      </c>
    </row>
    <row r="326" spans="1:5" hidden="1" x14ac:dyDescent="0.25">
      <c r="A326" s="872"/>
      <c r="B326" s="19" t="s">
        <v>75</v>
      </c>
      <c r="C326" s="53" t="s">
        <v>76</v>
      </c>
      <c r="D326" s="124" t="s">
        <v>106</v>
      </c>
      <c r="E326" s="462">
        <v>2.3199999999999998</v>
      </c>
    </row>
    <row r="327" spans="1:5" ht="15.75" hidden="1" thickBot="1" x14ac:dyDescent="0.3">
      <c r="A327" s="872"/>
      <c r="B327" s="19" t="s">
        <v>77</v>
      </c>
      <c r="C327" s="123" t="s">
        <v>78</v>
      </c>
      <c r="D327" s="124" t="s">
        <v>106</v>
      </c>
      <c r="E327" s="462">
        <v>46.02</v>
      </c>
    </row>
    <row r="328" spans="1:5" hidden="1" x14ac:dyDescent="0.25">
      <c r="A328" s="126" t="s">
        <v>80</v>
      </c>
      <c r="B328" s="127" t="s">
        <v>81</v>
      </c>
      <c r="C328" s="11" t="s">
        <v>59</v>
      </c>
      <c r="D328" s="62"/>
      <c r="E328" s="462">
        <v>0.12</v>
      </c>
    </row>
    <row r="329" spans="1:5" hidden="1" x14ac:dyDescent="0.25">
      <c r="A329" s="126" t="s">
        <v>82</v>
      </c>
      <c r="B329" s="127" t="s">
        <v>83</v>
      </c>
      <c r="C329" s="11" t="s">
        <v>59</v>
      </c>
      <c r="D329" s="62"/>
      <c r="E329" s="462">
        <v>-0.27</v>
      </c>
    </row>
    <row r="330" spans="1:5" hidden="1" x14ac:dyDescent="0.25">
      <c r="A330" s="126" t="s">
        <v>84</v>
      </c>
      <c r="B330" s="127" t="s">
        <v>177</v>
      </c>
      <c r="C330" s="11" t="s">
        <v>59</v>
      </c>
      <c r="D330" s="62"/>
      <c r="E330" s="540">
        <f>E292+E318+E325+E328+E329</f>
        <v>28.012217209629029</v>
      </c>
    </row>
    <row r="331" spans="1:5" hidden="1" x14ac:dyDescent="0.25">
      <c r="A331" s="126" t="s">
        <v>85</v>
      </c>
      <c r="B331" s="127" t="s">
        <v>86</v>
      </c>
      <c r="C331" s="11" t="s">
        <v>59</v>
      </c>
      <c r="D331" s="62"/>
      <c r="E331" s="462">
        <v>0</v>
      </c>
    </row>
    <row r="332" spans="1:5" hidden="1" x14ac:dyDescent="0.25">
      <c r="A332" s="126" t="s">
        <v>87</v>
      </c>
      <c r="B332" s="127" t="s">
        <v>88</v>
      </c>
      <c r="C332" s="9" t="s">
        <v>59</v>
      </c>
      <c r="D332" s="129"/>
      <c r="E332" s="540">
        <f>E330</f>
        <v>28.012217209629029</v>
      </c>
    </row>
    <row r="333" spans="1:5" hidden="1" x14ac:dyDescent="0.25">
      <c r="A333" s="126" t="s">
        <v>89</v>
      </c>
      <c r="B333" s="127" t="s">
        <v>90</v>
      </c>
      <c r="C333" s="9" t="s">
        <v>59</v>
      </c>
      <c r="D333" s="129"/>
      <c r="E333" s="538">
        <f>E332*1.09</f>
        <v>30.533316758495644</v>
      </c>
    </row>
    <row r="334" spans="1:5" hidden="1" x14ac:dyDescent="0.25">
      <c r="A334" s="126" t="s">
        <v>91</v>
      </c>
      <c r="B334" s="127" t="s">
        <v>92</v>
      </c>
      <c r="C334" s="9" t="s">
        <v>59</v>
      </c>
      <c r="D334" s="129"/>
      <c r="E334" s="538">
        <f>E241</f>
        <v>28.203638206268135</v>
      </c>
    </row>
    <row r="335" spans="1:5" hidden="1" x14ac:dyDescent="0.25">
      <c r="A335" s="126" t="s">
        <v>93</v>
      </c>
      <c r="B335" s="127" t="s">
        <v>94</v>
      </c>
      <c r="C335" s="126" t="s">
        <v>95</v>
      </c>
      <c r="D335" s="129"/>
      <c r="E335" s="538">
        <f>(28.01/28.2)*100-100</f>
        <v>-0.67375886524821738</v>
      </c>
    </row>
    <row r="336" spans="1:5" hidden="1" x14ac:dyDescent="0.25">
      <c r="A336" s="126" t="s">
        <v>96</v>
      </c>
      <c r="B336" s="128" t="s">
        <v>97</v>
      </c>
      <c r="C336" s="130" t="s">
        <v>98</v>
      </c>
      <c r="D336" s="131"/>
      <c r="E336" s="539">
        <f>1069/1000</f>
        <v>1.069</v>
      </c>
    </row>
    <row r="337" spans="1:5" hidden="1" x14ac:dyDescent="0.25">
      <c r="A337" s="126" t="s">
        <v>99</v>
      </c>
      <c r="B337" s="128" t="s">
        <v>100</v>
      </c>
      <c r="C337" s="125" t="s">
        <v>98</v>
      </c>
      <c r="D337" s="62"/>
      <c r="E337" s="539">
        <f>672.652/1000</f>
        <v>0.67265200000000003</v>
      </c>
    </row>
    <row r="338" spans="1:5" ht="15.75" hidden="1" thickBot="1" x14ac:dyDescent="0.3">
      <c r="A338" s="22" t="s">
        <v>101</v>
      </c>
      <c r="B338" s="23" t="s">
        <v>102</v>
      </c>
      <c r="C338" s="125" t="s">
        <v>98</v>
      </c>
      <c r="D338" s="62"/>
      <c r="E338" s="462">
        <v>0</v>
      </c>
    </row>
    <row r="339" spans="1:5" hidden="1" x14ac:dyDescent="0.25"/>
    <row r="340" spans="1:5" hidden="1" x14ac:dyDescent="0.25"/>
    <row r="341" spans="1:5" hidden="1" x14ac:dyDescent="0.25"/>
    <row r="342" spans="1:5" hidden="1" x14ac:dyDescent="0.25"/>
    <row r="343" spans="1:5" hidden="1" x14ac:dyDescent="0.25">
      <c r="B343" t="s">
        <v>189</v>
      </c>
      <c r="C343" t="s">
        <v>193</v>
      </c>
      <c r="D343" s="146" t="s">
        <v>190</v>
      </c>
    </row>
    <row r="344" spans="1:5" hidden="1" x14ac:dyDescent="0.25">
      <c r="C344" s="153" t="s">
        <v>194</v>
      </c>
    </row>
    <row r="345" spans="1:5" hidden="1" x14ac:dyDescent="0.25"/>
    <row r="346" spans="1:5" hidden="1" x14ac:dyDescent="0.25"/>
    <row r="347" spans="1:5" hidden="1" x14ac:dyDescent="0.25"/>
    <row r="348" spans="1:5" hidden="1" x14ac:dyDescent="0.25"/>
    <row r="349" spans="1:5" hidden="1" x14ac:dyDescent="0.25"/>
    <row r="350" spans="1:5" hidden="1" x14ac:dyDescent="0.25"/>
    <row r="351" spans="1:5" hidden="1" x14ac:dyDescent="0.25"/>
    <row r="352" spans="1:5" hidden="1" x14ac:dyDescent="0.25"/>
    <row r="353" spans="1:5" hidden="1" x14ac:dyDescent="0.25"/>
    <row r="354" spans="1:5" hidden="1" x14ac:dyDescent="0.25"/>
    <row r="355" spans="1:5" hidden="1" x14ac:dyDescent="0.25"/>
    <row r="356" spans="1:5" hidden="1" x14ac:dyDescent="0.25"/>
    <row r="357" spans="1:5" hidden="1" x14ac:dyDescent="0.25"/>
    <row r="358" spans="1:5" hidden="1" x14ac:dyDescent="0.25"/>
    <row r="359" spans="1:5" hidden="1" x14ac:dyDescent="0.25"/>
    <row r="360" spans="1:5" hidden="1" x14ac:dyDescent="0.25"/>
    <row r="361" spans="1:5" hidden="1" x14ac:dyDescent="0.25"/>
    <row r="362" spans="1:5" hidden="1" x14ac:dyDescent="0.25"/>
    <row r="363" spans="1:5" hidden="1" x14ac:dyDescent="0.25"/>
    <row r="364" spans="1:5" hidden="1" x14ac:dyDescent="0.25"/>
    <row r="365" spans="1:5" hidden="1" x14ac:dyDescent="0.25">
      <c r="A365" s="132" t="s">
        <v>0</v>
      </c>
      <c r="B365" s="132"/>
      <c r="C365" s="132"/>
      <c r="D365" s="132"/>
      <c r="E365" s="480" t="s">
        <v>107</v>
      </c>
    </row>
    <row r="366" spans="1:5" hidden="1" x14ac:dyDescent="0.25">
      <c r="A366" s="132" t="s">
        <v>1</v>
      </c>
      <c r="B366" s="132"/>
      <c r="C366" s="132"/>
      <c r="D366" s="132" t="s">
        <v>178</v>
      </c>
      <c r="E366" s="519"/>
    </row>
    <row r="367" spans="1:5" hidden="1" x14ac:dyDescent="0.25">
      <c r="A367" s="132" t="s">
        <v>2</v>
      </c>
      <c r="B367" s="132"/>
      <c r="C367" s="132"/>
      <c r="D367" s="132" t="s">
        <v>167</v>
      </c>
      <c r="E367" s="520"/>
    </row>
    <row r="368" spans="1:5" hidden="1" x14ac:dyDescent="0.25">
      <c r="A368" s="132" t="s">
        <v>3</v>
      </c>
      <c r="B368" s="132"/>
      <c r="C368" s="132"/>
      <c r="D368" s="132" t="s">
        <v>168</v>
      </c>
      <c r="E368" s="519"/>
    </row>
    <row r="369" spans="1:5" hidden="1" x14ac:dyDescent="0.25">
      <c r="A369" s="132" t="s">
        <v>4</v>
      </c>
      <c r="B369" s="132"/>
      <c r="C369" s="132"/>
      <c r="D369" s="132" t="s">
        <v>169</v>
      </c>
      <c r="E369" s="519"/>
    </row>
    <row r="370" spans="1:5" hidden="1" x14ac:dyDescent="0.25">
      <c r="A370" s="152" t="s">
        <v>192</v>
      </c>
      <c r="B370" s="132"/>
      <c r="C370" s="132"/>
      <c r="D370" s="132"/>
      <c r="E370" s="519"/>
    </row>
    <row r="371" spans="1:5" hidden="1" x14ac:dyDescent="0.25">
      <c r="A371" s="132" t="s">
        <v>5</v>
      </c>
      <c r="B371" s="132"/>
      <c r="C371" s="132"/>
      <c r="D371" s="132" t="s">
        <v>170</v>
      </c>
      <c r="E371" s="519"/>
    </row>
    <row r="372" spans="1:5" hidden="1" x14ac:dyDescent="0.25">
      <c r="A372" s="1"/>
      <c r="B372" s="1"/>
      <c r="C372" s="1"/>
      <c r="D372" s="1"/>
      <c r="E372" s="463"/>
    </row>
    <row r="373" spans="1:5" ht="15.75" hidden="1" x14ac:dyDescent="0.25">
      <c r="A373" s="141"/>
      <c r="B373" s="141" t="s">
        <v>244</v>
      </c>
      <c r="C373" s="2"/>
      <c r="D373" s="2"/>
    </row>
    <row r="374" spans="1:5" ht="15.75" hidden="1" x14ac:dyDescent="0.25">
      <c r="A374" s="141"/>
      <c r="B374" s="141"/>
      <c r="C374" s="150">
        <v>41599</v>
      </c>
      <c r="D374" s="2"/>
    </row>
    <row r="375" spans="1:5" ht="15.75" hidden="1" x14ac:dyDescent="0.25">
      <c r="A375" s="141"/>
      <c r="B375" s="141"/>
      <c r="C375" s="151" t="s">
        <v>191</v>
      </c>
      <c r="D375" s="2"/>
    </row>
    <row r="376" spans="1:5" hidden="1" x14ac:dyDescent="0.25">
      <c r="A376" s="2" t="s">
        <v>6</v>
      </c>
      <c r="B376" s="2"/>
      <c r="C376" s="2"/>
      <c r="D376" s="2"/>
      <c r="E376" s="522"/>
    </row>
    <row r="377" spans="1:5" hidden="1" x14ac:dyDescent="0.25">
      <c r="A377" s="1" t="s">
        <v>195</v>
      </c>
      <c r="B377" s="1"/>
      <c r="C377" s="1"/>
      <c r="D377" s="1"/>
      <c r="E377" s="463"/>
    </row>
    <row r="378" spans="1:5" hidden="1" x14ac:dyDescent="0.25">
      <c r="A378" s="1" t="s">
        <v>7</v>
      </c>
      <c r="B378" s="1"/>
      <c r="C378" s="1"/>
      <c r="D378" s="1"/>
      <c r="E378" s="463"/>
    </row>
    <row r="379" spans="1:5" hidden="1" x14ac:dyDescent="0.25">
      <c r="A379" s="237" t="s">
        <v>237</v>
      </c>
      <c r="B379" s="237"/>
      <c r="C379" s="237"/>
      <c r="D379" s="237"/>
      <c r="E379" s="463"/>
    </row>
    <row r="380" spans="1:5" hidden="1" x14ac:dyDescent="0.25">
      <c r="A380" s="25" t="s">
        <v>8</v>
      </c>
      <c r="B380" s="25" t="s">
        <v>9</v>
      </c>
      <c r="C380" s="25" t="s">
        <v>10</v>
      </c>
      <c r="D380" s="25" t="s">
        <v>11</v>
      </c>
      <c r="E380" s="523" t="s">
        <v>12</v>
      </c>
    </row>
    <row r="381" spans="1:5" hidden="1" x14ac:dyDescent="0.25">
      <c r="A381" s="24">
        <v>1</v>
      </c>
      <c r="B381" s="24">
        <v>2</v>
      </c>
      <c r="C381" s="24">
        <v>3</v>
      </c>
      <c r="D381" s="24">
        <v>4</v>
      </c>
      <c r="E381" s="524">
        <v>5</v>
      </c>
    </row>
    <row r="382" spans="1:5" hidden="1" x14ac:dyDescent="0.25">
      <c r="A382" s="34" t="s">
        <v>13</v>
      </c>
      <c r="B382" s="26" t="s">
        <v>14</v>
      </c>
      <c r="C382" s="26"/>
      <c r="D382" s="26"/>
      <c r="E382" s="525"/>
    </row>
    <row r="383" spans="1:5" ht="17.25" hidden="1" x14ac:dyDescent="0.3">
      <c r="A383" s="34" t="s">
        <v>15</v>
      </c>
      <c r="B383" s="133" t="s">
        <v>183</v>
      </c>
      <c r="C383" s="9" t="s">
        <v>59</v>
      </c>
      <c r="D383" s="135" t="s">
        <v>179</v>
      </c>
      <c r="E383" s="526">
        <f>E384+E385</f>
        <v>20.676863839632677</v>
      </c>
    </row>
    <row r="384" spans="1:5" ht="18.75" hidden="1" x14ac:dyDescent="0.35">
      <c r="A384" s="25" t="s">
        <v>16</v>
      </c>
      <c r="B384" s="24" t="s">
        <v>18</v>
      </c>
      <c r="C384" s="11" t="s">
        <v>59</v>
      </c>
      <c r="D384" s="122" t="s">
        <v>171</v>
      </c>
      <c r="E384" s="527">
        <v>4.57</v>
      </c>
    </row>
    <row r="385" spans="1:5" ht="33" hidden="1" x14ac:dyDescent="0.25">
      <c r="A385" s="35" t="s">
        <v>17</v>
      </c>
      <c r="B385" s="149" t="s">
        <v>19</v>
      </c>
      <c r="C385" s="27" t="s">
        <v>59</v>
      </c>
      <c r="D385" s="28" t="s">
        <v>20</v>
      </c>
      <c r="E385" s="541">
        <f>0.28+((4325*E390+((226+106.1)*E394)+509*E398)/(44.84*1000))/10</f>
        <v>16.106863839632677</v>
      </c>
    </row>
    <row r="386" spans="1:5" hidden="1" x14ac:dyDescent="0.25">
      <c r="A386" s="25" t="s">
        <v>21</v>
      </c>
      <c r="B386" s="30" t="s">
        <v>22</v>
      </c>
      <c r="C386" s="31"/>
      <c r="D386" s="33"/>
      <c r="E386" s="529"/>
    </row>
    <row r="387" spans="1:5" hidden="1" x14ac:dyDescent="0.25">
      <c r="A387" s="47" t="s">
        <v>23</v>
      </c>
      <c r="B387" s="48" t="s">
        <v>24</v>
      </c>
      <c r="C387" s="49"/>
      <c r="D387" s="49"/>
      <c r="E387" s="530"/>
    </row>
    <row r="388" spans="1:5" hidden="1" x14ac:dyDescent="0.25">
      <c r="A388" s="25" t="s">
        <v>25</v>
      </c>
      <c r="B388" s="24" t="s">
        <v>26</v>
      </c>
      <c r="C388" s="32" t="s">
        <v>41</v>
      </c>
      <c r="D388" s="24"/>
      <c r="E388" s="532">
        <f>Lapas3!D263</f>
        <v>1213.6811209439529</v>
      </c>
    </row>
    <row r="389" spans="1:5" hidden="1" x14ac:dyDescent="0.25">
      <c r="A389" s="25" t="s">
        <v>27</v>
      </c>
      <c r="B389" s="24" t="s">
        <v>28</v>
      </c>
      <c r="C389" s="5" t="s">
        <v>41</v>
      </c>
      <c r="D389" s="24"/>
      <c r="E389" s="524">
        <f>275.02+37.53</f>
        <v>312.54999999999995</v>
      </c>
    </row>
    <row r="390" spans="1:5" hidden="1" x14ac:dyDescent="0.25">
      <c r="A390" s="25" t="s">
        <v>29</v>
      </c>
      <c r="B390" s="38" t="s">
        <v>30</v>
      </c>
      <c r="C390" s="39" t="s">
        <v>41</v>
      </c>
      <c r="D390" s="24"/>
      <c r="E390" s="542">
        <f>E388+E389</f>
        <v>1526.2311209439529</v>
      </c>
    </row>
    <row r="391" spans="1:5" hidden="1" x14ac:dyDescent="0.25">
      <c r="A391" s="36" t="s">
        <v>31</v>
      </c>
      <c r="B391" s="41" t="s">
        <v>32</v>
      </c>
      <c r="C391" s="42"/>
      <c r="D391" s="42"/>
      <c r="E391" s="531"/>
    </row>
    <row r="392" spans="1:5" hidden="1" x14ac:dyDescent="0.25">
      <c r="A392" s="25" t="s">
        <v>35</v>
      </c>
      <c r="B392" s="24" t="s">
        <v>26</v>
      </c>
      <c r="C392" s="40" t="s">
        <v>33</v>
      </c>
      <c r="D392" s="24"/>
      <c r="E392" s="532">
        <f>Lapas3!D289/Lapas3!D288*1000</f>
        <v>251.03260869565219</v>
      </c>
    </row>
    <row r="393" spans="1:5" hidden="1" x14ac:dyDescent="0.25">
      <c r="A393" s="25" t="s">
        <v>36</v>
      </c>
      <c r="B393" s="24" t="s">
        <v>28</v>
      </c>
      <c r="C393" s="4" t="s">
        <v>33</v>
      </c>
      <c r="D393" s="24"/>
      <c r="E393" s="532">
        <f>Lapas3!D290*1000/Lapas3!D288</f>
        <v>48.586956521739125</v>
      </c>
    </row>
    <row r="394" spans="1:5" hidden="1" x14ac:dyDescent="0.25">
      <c r="A394" s="25" t="s">
        <v>37</v>
      </c>
      <c r="B394" s="24" t="s">
        <v>30</v>
      </c>
      <c r="C394" s="43" t="s">
        <v>33</v>
      </c>
      <c r="D394" s="24"/>
      <c r="E394" s="542">
        <f>SUM(E392:E393)</f>
        <v>299.61956521739131</v>
      </c>
    </row>
    <row r="395" spans="1:5" hidden="1" x14ac:dyDescent="0.25">
      <c r="A395" s="37" t="s">
        <v>34</v>
      </c>
      <c r="B395" s="45" t="s">
        <v>103</v>
      </c>
      <c r="C395" s="46"/>
      <c r="D395" s="46"/>
      <c r="E395" s="533"/>
    </row>
    <row r="396" spans="1:5" hidden="1" x14ac:dyDescent="0.25">
      <c r="A396" s="29" t="s">
        <v>38</v>
      </c>
      <c r="B396" s="44" t="s">
        <v>26</v>
      </c>
      <c r="C396" s="40" t="s">
        <v>33</v>
      </c>
      <c r="D396" s="24"/>
      <c r="E396" s="532">
        <f>Lapas3!D271</f>
        <v>808.37631157744977</v>
      </c>
    </row>
    <row r="397" spans="1:5" hidden="1" x14ac:dyDescent="0.25">
      <c r="A397" s="29" t="s">
        <v>39</v>
      </c>
      <c r="B397" s="24" t="s">
        <v>28</v>
      </c>
      <c r="C397" s="4" t="s">
        <v>33</v>
      </c>
      <c r="D397" s="24"/>
      <c r="E397" s="524"/>
    </row>
    <row r="398" spans="1:5" hidden="1" x14ac:dyDescent="0.25">
      <c r="A398" s="21" t="s">
        <v>40</v>
      </c>
      <c r="B398" s="38" t="s">
        <v>30</v>
      </c>
      <c r="C398" s="43" t="s">
        <v>33</v>
      </c>
      <c r="D398" s="24"/>
      <c r="E398" s="542">
        <v>778.61</v>
      </c>
    </row>
    <row r="399" spans="1:5" hidden="1" x14ac:dyDescent="0.25">
      <c r="A399" s="50" t="s">
        <v>42</v>
      </c>
      <c r="B399" s="51" t="s">
        <v>43</v>
      </c>
      <c r="C399" s="52"/>
      <c r="D399" s="52"/>
      <c r="E399" s="534"/>
    </row>
    <row r="400" spans="1:5" hidden="1" x14ac:dyDescent="0.25">
      <c r="A400" s="24" t="s">
        <v>44</v>
      </c>
      <c r="B400" s="24" t="s">
        <v>104</v>
      </c>
      <c r="C400" s="24"/>
      <c r="D400" s="24"/>
      <c r="E400" s="523" t="s">
        <v>106</v>
      </c>
    </row>
    <row r="401" spans="1:5" hidden="1" x14ac:dyDescent="0.25">
      <c r="A401" s="24" t="s">
        <v>45</v>
      </c>
      <c r="B401" s="24" t="s">
        <v>105</v>
      </c>
      <c r="C401" s="11" t="s">
        <v>59</v>
      </c>
      <c r="D401" s="24"/>
      <c r="E401" s="524">
        <v>0</v>
      </c>
    </row>
    <row r="402" spans="1:5" ht="17.25" hidden="1" x14ac:dyDescent="0.3">
      <c r="A402" s="136" t="s">
        <v>46</v>
      </c>
      <c r="B402" s="136" t="s">
        <v>172</v>
      </c>
      <c r="C402" s="139" t="s">
        <v>59</v>
      </c>
      <c r="D402" s="140" t="s">
        <v>181</v>
      </c>
      <c r="E402" s="535"/>
    </row>
    <row r="403" spans="1:5" ht="18.75" hidden="1" x14ac:dyDescent="0.35">
      <c r="A403" s="24" t="s">
        <v>48</v>
      </c>
      <c r="B403" s="24" t="s">
        <v>49</v>
      </c>
      <c r="C403" s="53" t="s">
        <v>59</v>
      </c>
      <c r="D403" s="122" t="s">
        <v>173</v>
      </c>
      <c r="E403" s="532">
        <f>E384</f>
        <v>4.57</v>
      </c>
    </row>
    <row r="404" spans="1:5" ht="33" hidden="1" x14ac:dyDescent="0.25">
      <c r="A404" s="35" t="s">
        <v>50</v>
      </c>
      <c r="B404" s="35" t="s">
        <v>51</v>
      </c>
      <c r="C404" s="27" t="s">
        <v>59</v>
      </c>
      <c r="D404" s="54" t="s">
        <v>20</v>
      </c>
      <c r="E404" s="536">
        <f>E385</f>
        <v>16.106863839632677</v>
      </c>
    </row>
    <row r="405" spans="1:5" hidden="1" x14ac:dyDescent="0.25">
      <c r="A405" s="24" t="s">
        <v>52</v>
      </c>
      <c r="B405" s="55" t="s">
        <v>53</v>
      </c>
      <c r="C405" s="33"/>
      <c r="D405" s="33"/>
      <c r="E405" s="529"/>
    </row>
    <row r="406" spans="1:5" hidden="1" x14ac:dyDescent="0.25">
      <c r="A406" s="24" t="s">
        <v>54</v>
      </c>
      <c r="B406" s="24" t="s">
        <v>55</v>
      </c>
      <c r="C406" s="11" t="s">
        <v>56</v>
      </c>
      <c r="D406" s="24"/>
      <c r="E406" s="524">
        <v>33.57</v>
      </c>
    </row>
    <row r="407" spans="1:5" hidden="1" x14ac:dyDescent="0.25">
      <c r="A407" s="24" t="s">
        <v>57</v>
      </c>
      <c r="B407" s="24" t="s">
        <v>58</v>
      </c>
      <c r="C407" s="11" t="s">
        <v>59</v>
      </c>
      <c r="D407" s="56" t="s">
        <v>47</v>
      </c>
      <c r="E407" s="524"/>
    </row>
    <row r="408" spans="1:5" hidden="1" x14ac:dyDescent="0.25">
      <c r="A408" s="34" t="s">
        <v>60</v>
      </c>
      <c r="B408" s="866" t="s">
        <v>61</v>
      </c>
      <c r="C408" s="867"/>
      <c r="D408" s="867"/>
      <c r="E408" s="868"/>
    </row>
    <row r="409" spans="1:5" ht="17.25" hidden="1" x14ac:dyDescent="0.3">
      <c r="A409" s="12" t="s">
        <v>62</v>
      </c>
      <c r="B409" s="16" t="s">
        <v>182</v>
      </c>
      <c r="C409" s="9" t="s">
        <v>59</v>
      </c>
      <c r="D409" s="140" t="s">
        <v>180</v>
      </c>
      <c r="E409" s="526">
        <f>E410+E411</f>
        <v>6.7613961223122487</v>
      </c>
    </row>
    <row r="410" spans="1:5" ht="18.75" hidden="1" x14ac:dyDescent="0.35">
      <c r="A410" s="13" t="s">
        <v>63</v>
      </c>
      <c r="B410" s="14" t="s">
        <v>64</v>
      </c>
      <c r="C410" s="11" t="s">
        <v>59</v>
      </c>
      <c r="D410" s="122" t="s">
        <v>174</v>
      </c>
      <c r="E410" s="524">
        <v>2.39</v>
      </c>
    </row>
    <row r="411" spans="1:5" ht="18.75" hidden="1" x14ac:dyDescent="0.25">
      <c r="A411" s="13" t="s">
        <v>65</v>
      </c>
      <c r="B411" s="15" t="s">
        <v>66</v>
      </c>
      <c r="C411" s="20"/>
      <c r="D411" s="134" t="s">
        <v>175</v>
      </c>
      <c r="E411" s="532">
        <f>0.39+(7.24*E383/37.6)</f>
        <v>4.3713961223122491</v>
      </c>
    </row>
    <row r="412" spans="1:5" hidden="1" x14ac:dyDescent="0.25">
      <c r="A412" s="12" t="s">
        <v>67</v>
      </c>
      <c r="B412" s="16" t="s">
        <v>68</v>
      </c>
      <c r="C412" s="9"/>
      <c r="D412" s="24"/>
      <c r="E412" s="524"/>
    </row>
    <row r="413" spans="1:5" hidden="1" x14ac:dyDescent="0.25">
      <c r="A413" s="12" t="s">
        <v>69</v>
      </c>
      <c r="B413" s="17" t="s">
        <v>55</v>
      </c>
      <c r="C413" s="10" t="s">
        <v>56</v>
      </c>
      <c r="D413" s="24"/>
      <c r="E413" s="524"/>
    </row>
    <row r="414" spans="1:5" ht="18.75" hidden="1" x14ac:dyDescent="0.35">
      <c r="A414" s="12" t="s">
        <v>70</v>
      </c>
      <c r="B414" s="17" t="s">
        <v>71</v>
      </c>
      <c r="C414" s="11" t="s">
        <v>59</v>
      </c>
      <c r="D414" s="122" t="s">
        <v>176</v>
      </c>
      <c r="E414" s="524"/>
    </row>
    <row r="415" spans="1:5" hidden="1" x14ac:dyDescent="0.25">
      <c r="A415" s="126" t="s">
        <v>72</v>
      </c>
      <c r="B415" s="869" t="s">
        <v>73</v>
      </c>
      <c r="C415" s="870"/>
      <c r="D415" s="870"/>
      <c r="E415" s="871"/>
    </row>
    <row r="416" spans="1:5" hidden="1" x14ac:dyDescent="0.25">
      <c r="A416" s="858" t="s">
        <v>79</v>
      </c>
      <c r="B416" s="18" t="s">
        <v>74</v>
      </c>
      <c r="C416" s="11" t="s">
        <v>59</v>
      </c>
      <c r="D416" s="124" t="s">
        <v>106</v>
      </c>
      <c r="E416" s="462">
        <v>0.31</v>
      </c>
    </row>
    <row r="417" spans="1:5" hidden="1" x14ac:dyDescent="0.25">
      <c r="A417" s="872"/>
      <c r="B417" s="19" t="s">
        <v>75</v>
      </c>
      <c r="C417" s="53" t="s">
        <v>76</v>
      </c>
      <c r="D417" s="124" t="s">
        <v>106</v>
      </c>
      <c r="E417" s="462">
        <v>2.3199999999999998</v>
      </c>
    </row>
    <row r="418" spans="1:5" ht="15.75" hidden="1" thickBot="1" x14ac:dyDescent="0.3">
      <c r="A418" s="872"/>
      <c r="B418" s="19" t="s">
        <v>77</v>
      </c>
      <c r="C418" s="123" t="s">
        <v>78</v>
      </c>
      <c r="D418" s="124" t="s">
        <v>106</v>
      </c>
      <c r="E418" s="462">
        <v>46.02</v>
      </c>
    </row>
    <row r="419" spans="1:5" hidden="1" x14ac:dyDescent="0.25">
      <c r="A419" s="126" t="s">
        <v>80</v>
      </c>
      <c r="B419" s="127" t="s">
        <v>81</v>
      </c>
      <c r="C419" s="11" t="s">
        <v>59</v>
      </c>
      <c r="D419" s="62"/>
      <c r="E419" s="462">
        <v>0.12</v>
      </c>
    </row>
    <row r="420" spans="1:5" hidden="1" x14ac:dyDescent="0.25">
      <c r="A420" s="126" t="s">
        <v>82</v>
      </c>
      <c r="B420" s="127" t="s">
        <v>83</v>
      </c>
      <c r="C420" s="11" t="s">
        <v>59</v>
      </c>
      <c r="D420" s="62"/>
      <c r="E420" s="462">
        <v>-0.27</v>
      </c>
    </row>
    <row r="421" spans="1:5" hidden="1" x14ac:dyDescent="0.25">
      <c r="A421" s="126" t="s">
        <v>84</v>
      </c>
      <c r="B421" s="127" t="s">
        <v>177</v>
      </c>
      <c r="C421" s="11" t="s">
        <v>59</v>
      </c>
      <c r="D421" s="62"/>
      <c r="E421" s="540">
        <f>E383+E409+E416+E419+E420</f>
        <v>27.598259961944926</v>
      </c>
    </row>
    <row r="422" spans="1:5" hidden="1" x14ac:dyDescent="0.25">
      <c r="A422" s="126" t="s">
        <v>85</v>
      </c>
      <c r="B422" s="127" t="s">
        <v>86</v>
      </c>
      <c r="C422" s="11" t="s">
        <v>59</v>
      </c>
      <c r="D422" s="62"/>
      <c r="E422" s="462">
        <v>0</v>
      </c>
    </row>
    <row r="423" spans="1:5" hidden="1" x14ac:dyDescent="0.25">
      <c r="A423" s="126" t="s">
        <v>87</v>
      </c>
      <c r="B423" s="127" t="s">
        <v>88</v>
      </c>
      <c r="C423" s="9" t="s">
        <v>59</v>
      </c>
      <c r="D423" s="129"/>
      <c r="E423" s="540">
        <f>E421</f>
        <v>27.598259961944926</v>
      </c>
    </row>
    <row r="424" spans="1:5" hidden="1" x14ac:dyDescent="0.25">
      <c r="A424" s="126" t="s">
        <v>89</v>
      </c>
      <c r="B424" s="127" t="s">
        <v>90</v>
      </c>
      <c r="C424" s="9" t="s">
        <v>59</v>
      </c>
      <c r="D424" s="129"/>
      <c r="E424" s="538">
        <f>E423*1.09</f>
        <v>30.082103358519973</v>
      </c>
    </row>
    <row r="425" spans="1:5" hidden="1" x14ac:dyDescent="0.25">
      <c r="A425" s="126" t="s">
        <v>91</v>
      </c>
      <c r="B425" s="127" t="s">
        <v>92</v>
      </c>
      <c r="C425" s="9" t="s">
        <v>59</v>
      </c>
      <c r="D425" s="129"/>
      <c r="E425" s="538">
        <f>E332</f>
        <v>28.012217209629029</v>
      </c>
    </row>
    <row r="426" spans="1:5" hidden="1" x14ac:dyDescent="0.25">
      <c r="A426" s="126" t="s">
        <v>93</v>
      </c>
      <c r="B426" s="127" t="s">
        <v>94</v>
      </c>
      <c r="C426" s="126" t="s">
        <v>95</v>
      </c>
      <c r="D426" s="129"/>
      <c r="E426" s="538">
        <f>(E421/E425)*100-100</f>
        <v>-1.477773946225895</v>
      </c>
    </row>
    <row r="427" spans="1:5" hidden="1" x14ac:dyDescent="0.25">
      <c r="A427" s="126" t="s">
        <v>96</v>
      </c>
      <c r="B427" s="128" t="s">
        <v>97</v>
      </c>
      <c r="C427" s="130" t="s">
        <v>98</v>
      </c>
      <c r="D427" s="131"/>
      <c r="E427" s="539">
        <v>3.45</v>
      </c>
    </row>
    <row r="428" spans="1:5" hidden="1" x14ac:dyDescent="0.25">
      <c r="A428" s="126" t="s">
        <v>99</v>
      </c>
      <c r="B428" s="128" t="s">
        <v>100</v>
      </c>
      <c r="C428" s="125" t="s">
        <v>98</v>
      </c>
      <c r="D428" s="62"/>
      <c r="E428" s="539">
        <v>2.78</v>
      </c>
    </row>
    <row r="429" spans="1:5" ht="15.75" hidden="1" thickBot="1" x14ac:dyDescent="0.3">
      <c r="A429" s="22" t="s">
        <v>101</v>
      </c>
      <c r="B429" s="23" t="s">
        <v>102</v>
      </c>
      <c r="C429" s="125" t="s">
        <v>98</v>
      </c>
      <c r="D429" s="62"/>
      <c r="E429" s="462">
        <v>0</v>
      </c>
    </row>
    <row r="430" spans="1:5" hidden="1" x14ac:dyDescent="0.25"/>
    <row r="431" spans="1:5" hidden="1" x14ac:dyDescent="0.25"/>
    <row r="432" spans="1:5" hidden="1" x14ac:dyDescent="0.25"/>
    <row r="433" spans="1:6" hidden="1" x14ac:dyDescent="0.25">
      <c r="B433" s="297" t="s">
        <v>253</v>
      </c>
    </row>
    <row r="434" spans="1:6" hidden="1" x14ac:dyDescent="0.25">
      <c r="A434" s="298" t="s">
        <v>254</v>
      </c>
      <c r="B434" s="298"/>
      <c r="C434" s="298"/>
      <c r="D434" s="298"/>
      <c r="E434" s="480"/>
      <c r="F434" s="298"/>
    </row>
    <row r="435" spans="1:6" hidden="1" x14ac:dyDescent="0.25">
      <c r="A435" s="298" t="s">
        <v>255</v>
      </c>
      <c r="B435" s="298"/>
      <c r="C435" s="298"/>
      <c r="D435" s="298"/>
      <c r="E435" s="480"/>
      <c r="F435" s="298"/>
    </row>
    <row r="436" spans="1:6" hidden="1" x14ac:dyDescent="0.25"/>
    <row r="437" spans="1:6" hidden="1" x14ac:dyDescent="0.25"/>
    <row r="438" spans="1:6" hidden="1" x14ac:dyDescent="0.25"/>
    <row r="439" spans="1:6" hidden="1" x14ac:dyDescent="0.25"/>
    <row r="440" spans="1:6" hidden="1" x14ac:dyDescent="0.25"/>
    <row r="441" spans="1:6" hidden="1" x14ac:dyDescent="0.25"/>
    <row r="442" spans="1:6" hidden="1" x14ac:dyDescent="0.25"/>
    <row r="443" spans="1:6" hidden="1" x14ac:dyDescent="0.25"/>
    <row r="444" spans="1:6" hidden="1" x14ac:dyDescent="0.25"/>
    <row r="445" spans="1:6" hidden="1" x14ac:dyDescent="0.25"/>
    <row r="446" spans="1:6" hidden="1" x14ac:dyDescent="0.25"/>
    <row r="447" spans="1:6" hidden="1" x14ac:dyDescent="0.25">
      <c r="B447" t="s">
        <v>189</v>
      </c>
      <c r="C447" t="s">
        <v>193</v>
      </c>
      <c r="D447" s="146" t="s">
        <v>190</v>
      </c>
    </row>
    <row r="448" spans="1:6" hidden="1" x14ac:dyDescent="0.25">
      <c r="C448" s="153" t="s">
        <v>194</v>
      </c>
    </row>
    <row r="449" spans="1:5" hidden="1" x14ac:dyDescent="0.25"/>
    <row r="450" spans="1:5" hidden="1" x14ac:dyDescent="0.25"/>
    <row r="451" spans="1:5" hidden="1" x14ac:dyDescent="0.25"/>
    <row r="452" spans="1:5" hidden="1" x14ac:dyDescent="0.25"/>
    <row r="453" spans="1:5" hidden="1" x14ac:dyDescent="0.25"/>
    <row r="454" spans="1:5" hidden="1" x14ac:dyDescent="0.25"/>
    <row r="455" spans="1:5" hidden="1" x14ac:dyDescent="0.25"/>
    <row r="456" spans="1:5" hidden="1" x14ac:dyDescent="0.25">
      <c r="A456" s="132" t="s">
        <v>0</v>
      </c>
      <c r="B456" s="132"/>
      <c r="C456" s="132"/>
      <c r="D456" s="132"/>
      <c r="E456" s="480" t="s">
        <v>107</v>
      </c>
    </row>
    <row r="457" spans="1:5" hidden="1" x14ac:dyDescent="0.25">
      <c r="A457" s="132" t="s">
        <v>1</v>
      </c>
      <c r="B457" s="132"/>
      <c r="C457" s="132"/>
      <c r="D457" s="132" t="s">
        <v>178</v>
      </c>
      <c r="E457" s="519"/>
    </row>
    <row r="458" spans="1:5" hidden="1" x14ac:dyDescent="0.25">
      <c r="A458" s="132" t="s">
        <v>2</v>
      </c>
      <c r="B458" s="132"/>
      <c r="C458" s="132"/>
      <c r="D458" s="132" t="s">
        <v>167</v>
      </c>
      <c r="E458" s="520"/>
    </row>
    <row r="459" spans="1:5" hidden="1" x14ac:dyDescent="0.25">
      <c r="A459" s="132" t="s">
        <v>3</v>
      </c>
      <c r="B459" s="132"/>
      <c r="C459" s="132"/>
      <c r="D459" s="132" t="s">
        <v>168</v>
      </c>
      <c r="E459" s="519"/>
    </row>
    <row r="460" spans="1:5" hidden="1" x14ac:dyDescent="0.25">
      <c r="A460" s="132" t="s">
        <v>4</v>
      </c>
      <c r="B460" s="132"/>
      <c r="C460" s="132"/>
      <c r="D460" s="132" t="s">
        <v>169</v>
      </c>
      <c r="E460" s="519"/>
    </row>
    <row r="461" spans="1:5" hidden="1" x14ac:dyDescent="0.25">
      <c r="A461" s="152" t="s">
        <v>192</v>
      </c>
      <c r="B461" s="132"/>
      <c r="C461" s="132"/>
      <c r="D461" s="132"/>
      <c r="E461" s="519"/>
    </row>
    <row r="462" spans="1:5" hidden="1" x14ac:dyDescent="0.25">
      <c r="A462" s="132" t="s">
        <v>5</v>
      </c>
      <c r="B462" s="132"/>
      <c r="C462" s="132"/>
      <c r="D462" s="132" t="s">
        <v>170</v>
      </c>
      <c r="E462" s="519"/>
    </row>
    <row r="463" spans="1:5" hidden="1" x14ac:dyDescent="0.25">
      <c r="A463" s="1"/>
      <c r="B463" s="1"/>
      <c r="C463" s="1"/>
      <c r="D463" s="1"/>
      <c r="E463" s="463"/>
    </row>
    <row r="464" spans="1:5" ht="15.75" hidden="1" x14ac:dyDescent="0.25">
      <c r="A464" s="141"/>
      <c r="B464" s="141" t="s">
        <v>258</v>
      </c>
      <c r="C464" s="2"/>
      <c r="D464" s="2"/>
    </row>
    <row r="465" spans="1:5" ht="15.75" hidden="1" x14ac:dyDescent="0.25">
      <c r="A465" s="141"/>
      <c r="B465" s="141"/>
      <c r="C465" s="150">
        <v>41627</v>
      </c>
      <c r="D465" s="2"/>
    </row>
    <row r="466" spans="1:5" ht="15.75" hidden="1" x14ac:dyDescent="0.25">
      <c r="A466" s="141"/>
      <c r="B466" s="141"/>
      <c r="C466" s="151" t="s">
        <v>191</v>
      </c>
      <c r="D466" s="2"/>
    </row>
    <row r="467" spans="1:5" hidden="1" x14ac:dyDescent="0.25">
      <c r="A467" s="2" t="s">
        <v>6</v>
      </c>
      <c r="B467" s="2"/>
      <c r="C467" s="2"/>
      <c r="D467" s="2"/>
      <c r="E467" s="522"/>
    </row>
    <row r="468" spans="1:5" hidden="1" x14ac:dyDescent="0.25">
      <c r="A468" s="1" t="s">
        <v>260</v>
      </c>
      <c r="B468" s="1"/>
      <c r="C468" s="1"/>
      <c r="D468" s="1"/>
      <c r="E468" s="463"/>
    </row>
    <row r="469" spans="1:5" hidden="1" x14ac:dyDescent="0.25">
      <c r="A469" s="1" t="s">
        <v>7</v>
      </c>
      <c r="B469" s="1"/>
      <c r="C469" s="1"/>
      <c r="D469" s="1"/>
      <c r="E469" s="463"/>
    </row>
    <row r="470" spans="1:5" hidden="1" x14ac:dyDescent="0.25">
      <c r="A470" s="237" t="s">
        <v>237</v>
      </c>
      <c r="B470" s="237"/>
      <c r="C470" s="237"/>
      <c r="D470" s="237"/>
      <c r="E470" s="463"/>
    </row>
    <row r="471" spans="1:5" hidden="1" x14ac:dyDescent="0.25">
      <c r="A471" s="238" t="s">
        <v>8</v>
      </c>
      <c r="B471" s="239" t="s">
        <v>9</v>
      </c>
      <c r="C471" s="239" t="s">
        <v>10</v>
      </c>
      <c r="D471" s="239" t="s">
        <v>11</v>
      </c>
      <c r="E471" s="543" t="s">
        <v>12</v>
      </c>
    </row>
    <row r="472" spans="1:5" hidden="1" x14ac:dyDescent="0.25">
      <c r="A472" s="242">
        <v>1</v>
      </c>
      <c r="B472" s="24">
        <v>2</v>
      </c>
      <c r="C472" s="24">
        <v>3</v>
      </c>
      <c r="D472" s="24">
        <v>4</v>
      </c>
      <c r="E472" s="544">
        <v>5</v>
      </c>
    </row>
    <row r="473" spans="1:5" hidden="1" x14ac:dyDescent="0.25">
      <c r="A473" s="307" t="s">
        <v>13</v>
      </c>
      <c r="B473" s="26" t="s">
        <v>14</v>
      </c>
      <c r="C473" s="26"/>
      <c r="D473" s="26"/>
      <c r="E473" s="545"/>
    </row>
    <row r="474" spans="1:5" ht="17.25" hidden="1" x14ac:dyDescent="0.3">
      <c r="A474" s="307" t="s">
        <v>15</v>
      </c>
      <c r="B474" s="133" t="s">
        <v>183</v>
      </c>
      <c r="C474" s="9" t="s">
        <v>59</v>
      </c>
      <c r="D474" s="308" t="s">
        <v>179</v>
      </c>
      <c r="E474" s="546">
        <f>E475+E476</f>
        <v>21.046807413741107</v>
      </c>
    </row>
    <row r="475" spans="1:5" ht="18.75" hidden="1" x14ac:dyDescent="0.35">
      <c r="A475" s="309" t="s">
        <v>16</v>
      </c>
      <c r="B475" s="24" t="s">
        <v>18</v>
      </c>
      <c r="C475" s="11" t="s">
        <v>59</v>
      </c>
      <c r="D475" s="122" t="s">
        <v>171</v>
      </c>
      <c r="E475" s="527">
        <v>4.57</v>
      </c>
    </row>
    <row r="476" spans="1:5" ht="33" hidden="1" x14ac:dyDescent="0.25">
      <c r="A476" s="310" t="s">
        <v>17</v>
      </c>
      <c r="B476" s="149" t="s">
        <v>19</v>
      </c>
      <c r="C476" s="27" t="s">
        <v>59</v>
      </c>
      <c r="D476" s="28" t="s">
        <v>20</v>
      </c>
      <c r="E476" s="547">
        <f>0.28+((4325*E481+((226+106.1)*E485)+509*E489)/(44.84*1000))/10</f>
        <v>16.476807413741106</v>
      </c>
    </row>
    <row r="477" spans="1:5" hidden="1" x14ac:dyDescent="0.25">
      <c r="A477" s="309" t="s">
        <v>21</v>
      </c>
      <c r="B477" s="30" t="s">
        <v>22</v>
      </c>
      <c r="C477" s="31"/>
      <c r="D477" s="33"/>
      <c r="E477" s="548"/>
    </row>
    <row r="478" spans="1:5" hidden="1" x14ac:dyDescent="0.25">
      <c r="A478" s="311" t="s">
        <v>23</v>
      </c>
      <c r="B478" s="48" t="s">
        <v>24</v>
      </c>
      <c r="C478" s="49"/>
      <c r="D478" s="49"/>
      <c r="E478" s="549"/>
    </row>
    <row r="479" spans="1:5" hidden="1" x14ac:dyDescent="0.25">
      <c r="A479" s="309" t="s">
        <v>25</v>
      </c>
      <c r="B479" s="24" t="s">
        <v>26</v>
      </c>
      <c r="C479" s="32" t="s">
        <v>41</v>
      </c>
      <c r="D479" s="24"/>
      <c r="E479" s="550">
        <f>Lapas3!D335</f>
        <v>1228.0538770685578</v>
      </c>
    </row>
    <row r="480" spans="1:5" hidden="1" x14ac:dyDescent="0.25">
      <c r="A480" s="309" t="s">
        <v>27</v>
      </c>
      <c r="B480" s="24" t="s">
        <v>28</v>
      </c>
      <c r="C480" s="5" t="s">
        <v>41</v>
      </c>
      <c r="D480" s="24"/>
      <c r="E480" s="544">
        <f>275.02+37.53</f>
        <v>312.54999999999995</v>
      </c>
    </row>
    <row r="481" spans="1:5" hidden="1" x14ac:dyDescent="0.25">
      <c r="A481" s="309" t="s">
        <v>29</v>
      </c>
      <c r="B481" s="38" t="s">
        <v>30</v>
      </c>
      <c r="C481" s="39" t="s">
        <v>41</v>
      </c>
      <c r="D481" s="24"/>
      <c r="E481" s="551">
        <f>E479+E480</f>
        <v>1540.6038770685577</v>
      </c>
    </row>
    <row r="482" spans="1:5" hidden="1" x14ac:dyDescent="0.25">
      <c r="A482" s="312" t="s">
        <v>31</v>
      </c>
      <c r="B482" s="41" t="s">
        <v>32</v>
      </c>
      <c r="C482" s="42"/>
      <c r="D482" s="42"/>
      <c r="E482" s="552"/>
    </row>
    <row r="483" spans="1:5" hidden="1" x14ac:dyDescent="0.25">
      <c r="A483" s="309" t="s">
        <v>35</v>
      </c>
      <c r="B483" s="24" t="s">
        <v>26</v>
      </c>
      <c r="C483" s="40" t="s">
        <v>33</v>
      </c>
      <c r="D483" s="24"/>
      <c r="E483" s="550"/>
    </row>
    <row r="484" spans="1:5" hidden="1" x14ac:dyDescent="0.25">
      <c r="A484" s="309" t="s">
        <v>36</v>
      </c>
      <c r="B484" s="24" t="s">
        <v>28</v>
      </c>
      <c r="C484" s="4" t="s">
        <v>33</v>
      </c>
      <c r="D484" s="24"/>
      <c r="E484" s="550"/>
    </row>
    <row r="485" spans="1:5" hidden="1" x14ac:dyDescent="0.25">
      <c r="A485" s="309" t="s">
        <v>37</v>
      </c>
      <c r="B485" s="24" t="s">
        <v>30</v>
      </c>
      <c r="C485" s="43" t="s">
        <v>33</v>
      </c>
      <c r="D485" s="24"/>
      <c r="E485" s="551">
        <v>593.55999999999995</v>
      </c>
    </row>
    <row r="486" spans="1:5" hidden="1" x14ac:dyDescent="0.25">
      <c r="A486" s="313" t="s">
        <v>34</v>
      </c>
      <c r="B486" s="45" t="s">
        <v>103</v>
      </c>
      <c r="C486" s="46"/>
      <c r="D486" s="46"/>
      <c r="E486" s="553"/>
    </row>
    <row r="487" spans="1:5" hidden="1" x14ac:dyDescent="0.25">
      <c r="A487" s="314" t="s">
        <v>38</v>
      </c>
      <c r="B487" s="44" t="s">
        <v>26</v>
      </c>
      <c r="C487" s="40" t="s">
        <v>33</v>
      </c>
      <c r="D487" s="24"/>
      <c r="E487" s="550">
        <f>Lapas3!D362</f>
        <v>0</v>
      </c>
    </row>
    <row r="488" spans="1:5" hidden="1" x14ac:dyDescent="0.25">
      <c r="A488" s="314" t="s">
        <v>39</v>
      </c>
      <c r="B488" s="24" t="s">
        <v>28</v>
      </c>
      <c r="C488" s="4" t="s">
        <v>33</v>
      </c>
      <c r="D488" s="24"/>
      <c r="E488" s="544"/>
    </row>
    <row r="489" spans="1:5" hidden="1" x14ac:dyDescent="0.25">
      <c r="A489" s="21" t="s">
        <v>40</v>
      </c>
      <c r="B489" s="38" t="s">
        <v>30</v>
      </c>
      <c r="C489" s="43" t="s">
        <v>33</v>
      </c>
      <c r="D489" s="24"/>
      <c r="E489" s="551">
        <v>790.6</v>
      </c>
    </row>
    <row r="490" spans="1:5" hidden="1" x14ac:dyDescent="0.25">
      <c r="A490" s="315" t="s">
        <v>42</v>
      </c>
      <c r="B490" s="51" t="s">
        <v>43</v>
      </c>
      <c r="C490" s="52"/>
      <c r="D490" s="52"/>
      <c r="E490" s="554"/>
    </row>
    <row r="491" spans="1:5" hidden="1" x14ac:dyDescent="0.25">
      <c r="A491" s="242" t="s">
        <v>44</v>
      </c>
      <c r="B491" s="24" t="s">
        <v>104</v>
      </c>
      <c r="C491" s="24"/>
      <c r="D491" s="24"/>
      <c r="E491" s="555" t="s">
        <v>106</v>
      </c>
    </row>
    <row r="492" spans="1:5" hidden="1" x14ac:dyDescent="0.25">
      <c r="A492" s="242" t="s">
        <v>45</v>
      </c>
      <c r="B492" s="24" t="s">
        <v>105</v>
      </c>
      <c r="C492" s="11" t="s">
        <v>59</v>
      </c>
      <c r="D492" s="24"/>
      <c r="E492" s="544">
        <v>0</v>
      </c>
    </row>
    <row r="493" spans="1:5" ht="17.25" hidden="1" x14ac:dyDescent="0.3">
      <c r="A493" s="316" t="s">
        <v>46</v>
      </c>
      <c r="B493" s="136" t="s">
        <v>172</v>
      </c>
      <c r="C493" s="139" t="s">
        <v>59</v>
      </c>
      <c r="D493" s="140" t="s">
        <v>181</v>
      </c>
      <c r="E493" s="556"/>
    </row>
    <row r="494" spans="1:5" ht="18.75" hidden="1" x14ac:dyDescent="0.35">
      <c r="A494" s="242" t="s">
        <v>48</v>
      </c>
      <c r="B494" s="24" t="s">
        <v>49</v>
      </c>
      <c r="C494" s="53" t="s">
        <v>59</v>
      </c>
      <c r="D494" s="122" t="s">
        <v>173</v>
      </c>
      <c r="E494" s="550">
        <f>E475</f>
        <v>4.57</v>
      </c>
    </row>
    <row r="495" spans="1:5" ht="33" hidden="1" x14ac:dyDescent="0.25">
      <c r="A495" s="310" t="s">
        <v>50</v>
      </c>
      <c r="B495" s="35" t="s">
        <v>51</v>
      </c>
      <c r="C495" s="27" t="s">
        <v>59</v>
      </c>
      <c r="D495" s="54" t="s">
        <v>20</v>
      </c>
      <c r="E495" s="557">
        <f>E476</f>
        <v>16.476807413741106</v>
      </c>
    </row>
    <row r="496" spans="1:5" hidden="1" x14ac:dyDescent="0.25">
      <c r="A496" s="242" t="s">
        <v>52</v>
      </c>
      <c r="B496" s="55" t="s">
        <v>53</v>
      </c>
      <c r="C496" s="33"/>
      <c r="D496" s="33"/>
      <c r="E496" s="548"/>
    </row>
    <row r="497" spans="1:5" hidden="1" x14ac:dyDescent="0.25">
      <c r="A497" s="242" t="s">
        <v>54</v>
      </c>
      <c r="B497" s="24" t="s">
        <v>55</v>
      </c>
      <c r="C497" s="11" t="s">
        <v>56</v>
      </c>
      <c r="D497" s="24"/>
      <c r="E497" s="544">
        <v>33.57</v>
      </c>
    </row>
    <row r="498" spans="1:5" hidden="1" x14ac:dyDescent="0.25">
      <c r="A498" s="242" t="s">
        <v>57</v>
      </c>
      <c r="B498" s="24" t="s">
        <v>58</v>
      </c>
      <c r="C498" s="11" t="s">
        <v>59</v>
      </c>
      <c r="D498" s="56" t="s">
        <v>47</v>
      </c>
      <c r="E498" s="544"/>
    </row>
    <row r="499" spans="1:5" hidden="1" x14ac:dyDescent="0.25">
      <c r="A499" s="307" t="s">
        <v>60</v>
      </c>
      <c r="B499" s="866" t="s">
        <v>61</v>
      </c>
      <c r="C499" s="867"/>
      <c r="D499" s="867"/>
      <c r="E499" s="868"/>
    </row>
    <row r="500" spans="1:5" ht="17.25" hidden="1" x14ac:dyDescent="0.3">
      <c r="A500" s="12" t="s">
        <v>62</v>
      </c>
      <c r="B500" s="16" t="s">
        <v>182</v>
      </c>
      <c r="C500" s="9" t="s">
        <v>59</v>
      </c>
      <c r="D500" s="140" t="s">
        <v>180</v>
      </c>
      <c r="E500" s="546">
        <f>E501+E502</f>
        <v>6.8326299381778082</v>
      </c>
    </row>
    <row r="501" spans="1:5" ht="18.75" hidden="1" x14ac:dyDescent="0.35">
      <c r="A501" s="13" t="s">
        <v>63</v>
      </c>
      <c r="B501" s="14" t="s">
        <v>64</v>
      </c>
      <c r="C501" s="11" t="s">
        <v>59</v>
      </c>
      <c r="D501" s="122" t="s">
        <v>174</v>
      </c>
      <c r="E501" s="544">
        <v>2.39</v>
      </c>
    </row>
    <row r="502" spans="1:5" ht="18.75" hidden="1" x14ac:dyDescent="0.25">
      <c r="A502" s="13" t="s">
        <v>65</v>
      </c>
      <c r="B502" s="15" t="s">
        <v>66</v>
      </c>
      <c r="C502" s="20"/>
      <c r="D502" s="134" t="s">
        <v>175</v>
      </c>
      <c r="E502" s="550">
        <f>0.39+(7.24*E474/37.6)</f>
        <v>4.4426299381778085</v>
      </c>
    </row>
    <row r="503" spans="1:5" hidden="1" x14ac:dyDescent="0.25">
      <c r="A503" s="12" t="s">
        <v>67</v>
      </c>
      <c r="B503" s="16" t="s">
        <v>68</v>
      </c>
      <c r="C503" s="9"/>
      <c r="D503" s="24"/>
      <c r="E503" s="544"/>
    </row>
    <row r="504" spans="1:5" hidden="1" x14ac:dyDescent="0.25">
      <c r="A504" s="12" t="s">
        <v>69</v>
      </c>
      <c r="B504" s="17" t="s">
        <v>55</v>
      </c>
      <c r="C504" s="10" t="s">
        <v>56</v>
      </c>
      <c r="D504" s="24"/>
      <c r="E504" s="544"/>
    </row>
    <row r="505" spans="1:5" ht="18.75" hidden="1" x14ac:dyDescent="0.35">
      <c r="A505" s="12" t="s">
        <v>70</v>
      </c>
      <c r="B505" s="17" t="s">
        <v>71</v>
      </c>
      <c r="C505" s="11" t="s">
        <v>59</v>
      </c>
      <c r="D505" s="122" t="s">
        <v>176</v>
      </c>
      <c r="E505" s="544"/>
    </row>
    <row r="506" spans="1:5" hidden="1" x14ac:dyDescent="0.25">
      <c r="A506" s="317" t="s">
        <v>72</v>
      </c>
      <c r="B506" s="869" t="s">
        <v>73</v>
      </c>
      <c r="C506" s="870"/>
      <c r="D506" s="870"/>
      <c r="E506" s="871"/>
    </row>
    <row r="507" spans="1:5" hidden="1" x14ac:dyDescent="0.25">
      <c r="A507" s="864" t="s">
        <v>79</v>
      </c>
      <c r="B507" s="18" t="s">
        <v>74</v>
      </c>
      <c r="C507" s="11" t="s">
        <v>59</v>
      </c>
      <c r="D507" s="124" t="s">
        <v>106</v>
      </c>
      <c r="E507" s="558">
        <v>0.31</v>
      </c>
    </row>
    <row r="508" spans="1:5" hidden="1" x14ac:dyDescent="0.25">
      <c r="A508" s="865"/>
      <c r="B508" s="19" t="s">
        <v>75</v>
      </c>
      <c r="C508" s="53" t="s">
        <v>76</v>
      </c>
      <c r="D508" s="124" t="s">
        <v>106</v>
      </c>
      <c r="E508" s="558">
        <v>2.3199999999999998</v>
      </c>
    </row>
    <row r="509" spans="1:5" ht="15.75" hidden="1" thickBot="1" x14ac:dyDescent="0.3">
      <c r="A509" s="865"/>
      <c r="B509" s="19" t="s">
        <v>77</v>
      </c>
      <c r="C509" s="123" t="s">
        <v>78</v>
      </c>
      <c r="D509" s="124" t="s">
        <v>106</v>
      </c>
      <c r="E509" s="558">
        <v>46.02</v>
      </c>
    </row>
    <row r="510" spans="1:5" hidden="1" x14ac:dyDescent="0.25">
      <c r="A510" s="317" t="s">
        <v>80</v>
      </c>
      <c r="B510" s="127" t="s">
        <v>81</v>
      </c>
      <c r="C510" s="11" t="s">
        <v>59</v>
      </c>
      <c r="D510" s="62"/>
      <c r="E510" s="558">
        <v>0.12</v>
      </c>
    </row>
    <row r="511" spans="1:5" hidden="1" x14ac:dyDescent="0.25">
      <c r="A511" s="317" t="s">
        <v>82</v>
      </c>
      <c r="B511" s="127" t="s">
        <v>83</v>
      </c>
      <c r="C511" s="11" t="s">
        <v>59</v>
      </c>
      <c r="D511" s="62"/>
      <c r="E511" s="558">
        <v>-0.27</v>
      </c>
    </row>
    <row r="512" spans="1:5" hidden="1" x14ac:dyDescent="0.25">
      <c r="A512" s="317" t="s">
        <v>84</v>
      </c>
      <c r="B512" s="127" t="s">
        <v>177</v>
      </c>
      <c r="C512" s="11" t="s">
        <v>59</v>
      </c>
      <c r="D512" s="62"/>
      <c r="E512" s="559">
        <f>E474+E500+E507+E510+E511</f>
        <v>28.039437351918917</v>
      </c>
    </row>
    <row r="513" spans="1:5" hidden="1" x14ac:dyDescent="0.25">
      <c r="A513" s="317" t="s">
        <v>85</v>
      </c>
      <c r="B513" s="127" t="s">
        <v>86</v>
      </c>
      <c r="C513" s="11" t="s">
        <v>59</v>
      </c>
      <c r="D513" s="62"/>
      <c r="E513" s="558">
        <v>0</v>
      </c>
    </row>
    <row r="514" spans="1:5" hidden="1" x14ac:dyDescent="0.25">
      <c r="A514" s="317" t="s">
        <v>87</v>
      </c>
      <c r="B514" s="127" t="s">
        <v>88</v>
      </c>
      <c r="C514" s="9" t="s">
        <v>59</v>
      </c>
      <c r="D514" s="129"/>
      <c r="E514" s="559">
        <f>E512</f>
        <v>28.039437351918917</v>
      </c>
    </row>
    <row r="515" spans="1:5" hidden="1" x14ac:dyDescent="0.25">
      <c r="A515" s="317" t="s">
        <v>89</v>
      </c>
      <c r="B515" s="127" t="s">
        <v>90</v>
      </c>
      <c r="C515" s="9" t="s">
        <v>59</v>
      </c>
      <c r="D515" s="129"/>
      <c r="E515" s="560">
        <f>E514*1.09</f>
        <v>30.56298671359162</v>
      </c>
    </row>
    <row r="516" spans="1:5" hidden="1" x14ac:dyDescent="0.25">
      <c r="A516" s="317" t="s">
        <v>91</v>
      </c>
      <c r="B516" s="127" t="s">
        <v>92</v>
      </c>
      <c r="C516" s="9" t="s">
        <v>59</v>
      </c>
      <c r="D516" s="129"/>
      <c r="E516" s="560">
        <f>E423</f>
        <v>27.598259961944926</v>
      </c>
    </row>
    <row r="517" spans="1:5" hidden="1" x14ac:dyDescent="0.25">
      <c r="A517" s="317" t="s">
        <v>93</v>
      </c>
      <c r="B517" s="127" t="s">
        <v>94</v>
      </c>
      <c r="C517" s="126" t="s">
        <v>95</v>
      </c>
      <c r="D517" s="129"/>
      <c r="E517" s="560">
        <f>(E512/E516)*100-100</f>
        <v>1.5985695858446292</v>
      </c>
    </row>
    <row r="518" spans="1:5" hidden="1" x14ac:dyDescent="0.25">
      <c r="A518" s="317" t="s">
        <v>96</v>
      </c>
      <c r="B518" s="128" t="s">
        <v>97</v>
      </c>
      <c r="C518" s="130" t="s">
        <v>98</v>
      </c>
      <c r="D518" s="131"/>
      <c r="E518" s="561">
        <v>4.42</v>
      </c>
    </row>
    <row r="519" spans="1:5" hidden="1" x14ac:dyDescent="0.25">
      <c r="A519" s="317" t="s">
        <v>99</v>
      </c>
      <c r="B519" s="128" t="s">
        <v>100</v>
      </c>
      <c r="C519" s="125" t="s">
        <v>98</v>
      </c>
      <c r="D519" s="62"/>
      <c r="E519" s="561">
        <v>3.61</v>
      </c>
    </row>
    <row r="520" spans="1:5" ht="15.75" hidden="1" thickBot="1" x14ac:dyDescent="0.3">
      <c r="A520" s="22" t="s">
        <v>101</v>
      </c>
      <c r="B520" s="23" t="s">
        <v>102</v>
      </c>
      <c r="C520" s="318" t="s">
        <v>98</v>
      </c>
      <c r="D520" s="319"/>
      <c r="E520" s="562">
        <v>0</v>
      </c>
    </row>
    <row r="521" spans="1:5" hidden="1" x14ac:dyDescent="0.25"/>
    <row r="522" spans="1:5" hidden="1" x14ac:dyDescent="0.25"/>
    <row r="523" spans="1:5" hidden="1" x14ac:dyDescent="0.25"/>
    <row r="524" spans="1:5" hidden="1" x14ac:dyDescent="0.25">
      <c r="B524" s="306"/>
    </row>
    <row r="525" spans="1:5" hidden="1" x14ac:dyDescent="0.25">
      <c r="A525" s="298"/>
      <c r="B525" s="298"/>
      <c r="C525" s="298"/>
      <c r="D525" s="298"/>
      <c r="E525" s="480"/>
    </row>
    <row r="526" spans="1:5" hidden="1" x14ac:dyDescent="0.25">
      <c r="A526" s="298"/>
      <c r="B526" s="298"/>
      <c r="C526" s="298"/>
      <c r="D526" s="298"/>
      <c r="E526" s="480"/>
    </row>
    <row r="527" spans="1:5" hidden="1" x14ac:dyDescent="0.25"/>
    <row r="528" spans="1:5" hidden="1" x14ac:dyDescent="0.25"/>
    <row r="529" spans="2:4" hidden="1" x14ac:dyDescent="0.25"/>
    <row r="530" spans="2:4" hidden="1" x14ac:dyDescent="0.25"/>
    <row r="531" spans="2:4" hidden="1" x14ac:dyDescent="0.25"/>
    <row r="532" spans="2:4" hidden="1" x14ac:dyDescent="0.25"/>
    <row r="533" spans="2:4" hidden="1" x14ac:dyDescent="0.25"/>
    <row r="534" spans="2:4" hidden="1" x14ac:dyDescent="0.25"/>
    <row r="535" spans="2:4" hidden="1" x14ac:dyDescent="0.25"/>
    <row r="536" spans="2:4" hidden="1" x14ac:dyDescent="0.25"/>
    <row r="537" spans="2:4" hidden="1" x14ac:dyDescent="0.25"/>
    <row r="538" spans="2:4" hidden="1" x14ac:dyDescent="0.25">
      <c r="B538" t="s">
        <v>189</v>
      </c>
      <c r="C538" t="s">
        <v>193</v>
      </c>
      <c r="D538" s="146" t="s">
        <v>190</v>
      </c>
    </row>
    <row r="539" spans="2:4" hidden="1" x14ac:dyDescent="0.25">
      <c r="C539" s="153" t="s">
        <v>194</v>
      </c>
    </row>
    <row r="540" spans="2:4" hidden="1" x14ac:dyDescent="0.25"/>
    <row r="541" spans="2:4" hidden="1" x14ac:dyDescent="0.25"/>
    <row r="542" spans="2:4" hidden="1" x14ac:dyDescent="0.25"/>
    <row r="543" spans="2:4" hidden="1" x14ac:dyDescent="0.25"/>
    <row r="544" spans="2:4" hidden="1" x14ac:dyDescent="0.25"/>
    <row r="545" spans="1:5" hidden="1" x14ac:dyDescent="0.25"/>
    <row r="546" spans="1:5" hidden="1" x14ac:dyDescent="0.25"/>
    <row r="547" spans="1:5" hidden="1" x14ac:dyDescent="0.25">
      <c r="A547" s="132" t="s">
        <v>0</v>
      </c>
      <c r="B547" s="132"/>
      <c r="C547" s="132"/>
      <c r="D547" s="132"/>
      <c r="E547" s="480" t="s">
        <v>107</v>
      </c>
    </row>
    <row r="548" spans="1:5" hidden="1" x14ac:dyDescent="0.25">
      <c r="A548" s="132" t="s">
        <v>1</v>
      </c>
      <c r="B548" s="132"/>
      <c r="C548" s="132"/>
      <c r="D548" s="132" t="s">
        <v>178</v>
      </c>
      <c r="E548" s="519"/>
    </row>
    <row r="549" spans="1:5" hidden="1" x14ac:dyDescent="0.25">
      <c r="A549" s="132" t="s">
        <v>2</v>
      </c>
      <c r="B549" s="132"/>
      <c r="C549" s="132"/>
      <c r="D549" s="132" t="s">
        <v>167</v>
      </c>
      <c r="E549" s="520"/>
    </row>
    <row r="550" spans="1:5" hidden="1" x14ac:dyDescent="0.25">
      <c r="A550" s="132" t="s">
        <v>3</v>
      </c>
      <c r="B550" s="132"/>
      <c r="C550" s="132"/>
      <c r="D550" s="132" t="s">
        <v>168</v>
      </c>
      <c r="E550" s="519"/>
    </row>
    <row r="551" spans="1:5" hidden="1" x14ac:dyDescent="0.25">
      <c r="A551" s="132" t="s">
        <v>4</v>
      </c>
      <c r="B551" s="132"/>
      <c r="C551" s="132"/>
      <c r="D551" s="132" t="s">
        <v>169</v>
      </c>
      <c r="E551" s="519"/>
    </row>
    <row r="552" spans="1:5" hidden="1" x14ac:dyDescent="0.25">
      <c r="A552" s="152" t="s">
        <v>192</v>
      </c>
      <c r="B552" s="132"/>
      <c r="C552" s="132"/>
      <c r="D552" s="132"/>
      <c r="E552" s="519"/>
    </row>
    <row r="553" spans="1:5" hidden="1" x14ac:dyDescent="0.25">
      <c r="A553" s="132" t="s">
        <v>5</v>
      </c>
      <c r="B553" s="132"/>
      <c r="C553" s="132"/>
      <c r="D553" s="132" t="s">
        <v>170</v>
      </c>
      <c r="E553" s="519"/>
    </row>
    <row r="554" spans="1:5" hidden="1" x14ac:dyDescent="0.25">
      <c r="A554" s="1"/>
      <c r="B554" s="1"/>
      <c r="C554" s="1"/>
      <c r="D554" s="1"/>
      <c r="E554" s="463"/>
    </row>
    <row r="555" spans="1:5" ht="15.75" hidden="1" x14ac:dyDescent="0.25">
      <c r="A555" s="141"/>
      <c r="B555" s="141" t="s">
        <v>262</v>
      </c>
      <c r="C555" s="2"/>
      <c r="D555" s="2"/>
    </row>
    <row r="556" spans="1:5" ht="15.75" hidden="1" x14ac:dyDescent="0.25">
      <c r="A556" s="141"/>
      <c r="B556" s="141"/>
      <c r="C556" s="150">
        <v>41659</v>
      </c>
      <c r="D556" s="2"/>
    </row>
    <row r="557" spans="1:5" ht="15.75" hidden="1" x14ac:dyDescent="0.25">
      <c r="A557" s="141"/>
      <c r="B557" s="141"/>
      <c r="C557" s="151" t="s">
        <v>191</v>
      </c>
      <c r="D557" s="2"/>
    </row>
    <row r="558" spans="1:5" hidden="1" x14ac:dyDescent="0.25">
      <c r="A558" s="2" t="s">
        <v>6</v>
      </c>
      <c r="B558" s="2"/>
      <c r="C558" s="2"/>
      <c r="D558" s="2"/>
      <c r="E558" s="522"/>
    </row>
    <row r="559" spans="1:5" hidden="1" x14ac:dyDescent="0.25">
      <c r="A559" s="1" t="s">
        <v>260</v>
      </c>
      <c r="B559" s="1"/>
      <c r="C559" s="1"/>
      <c r="D559" s="1"/>
      <c r="E559" s="463"/>
    </row>
    <row r="560" spans="1:5" hidden="1" x14ac:dyDescent="0.25">
      <c r="A560" s="1" t="s">
        <v>7</v>
      </c>
      <c r="B560" s="1"/>
      <c r="C560" s="1"/>
      <c r="D560" s="1"/>
      <c r="E560" s="463"/>
    </row>
    <row r="561" spans="1:5" hidden="1" x14ac:dyDescent="0.25">
      <c r="A561" s="237" t="s">
        <v>237</v>
      </c>
      <c r="B561" s="237"/>
      <c r="C561" s="237"/>
      <c r="D561" s="237"/>
      <c r="E561" s="463"/>
    </row>
    <row r="562" spans="1:5" hidden="1" x14ac:dyDescent="0.25">
      <c r="A562" s="238" t="s">
        <v>8</v>
      </c>
      <c r="B562" s="239" t="s">
        <v>9</v>
      </c>
      <c r="C562" s="239" t="s">
        <v>10</v>
      </c>
      <c r="D562" s="239" t="s">
        <v>11</v>
      </c>
      <c r="E562" s="543" t="s">
        <v>12</v>
      </c>
    </row>
    <row r="563" spans="1:5" hidden="1" x14ac:dyDescent="0.25">
      <c r="A563" s="242">
        <v>1</v>
      </c>
      <c r="B563" s="24">
        <v>2</v>
      </c>
      <c r="C563" s="24">
        <v>3</v>
      </c>
      <c r="D563" s="24">
        <v>4</v>
      </c>
      <c r="E563" s="544">
        <v>5</v>
      </c>
    </row>
    <row r="564" spans="1:5" hidden="1" x14ac:dyDescent="0.25">
      <c r="A564" s="307" t="s">
        <v>13</v>
      </c>
      <c r="B564" s="26" t="s">
        <v>14</v>
      </c>
      <c r="C564" s="26"/>
      <c r="D564" s="26"/>
      <c r="E564" s="545"/>
    </row>
    <row r="565" spans="1:5" ht="17.25" hidden="1" x14ac:dyDescent="0.3">
      <c r="A565" s="307" t="s">
        <v>15</v>
      </c>
      <c r="B565" s="133" t="s">
        <v>183</v>
      </c>
      <c r="C565" s="9" t="s">
        <v>59</v>
      </c>
      <c r="D565" s="308" t="s">
        <v>179</v>
      </c>
      <c r="E565" s="546">
        <f>E566+E567</f>
        <v>20.838931995194383</v>
      </c>
    </row>
    <row r="566" spans="1:5" ht="18.75" hidden="1" x14ac:dyDescent="0.35">
      <c r="A566" s="309" t="s">
        <v>16</v>
      </c>
      <c r="B566" s="24" t="s">
        <v>18</v>
      </c>
      <c r="C566" s="11" t="s">
        <v>59</v>
      </c>
      <c r="D566" s="122" t="s">
        <v>171</v>
      </c>
      <c r="E566" s="527">
        <v>4.57</v>
      </c>
    </row>
    <row r="567" spans="1:5" ht="33" hidden="1" x14ac:dyDescent="0.25">
      <c r="A567" s="310" t="s">
        <v>17</v>
      </c>
      <c r="B567" s="149" t="s">
        <v>19</v>
      </c>
      <c r="C567" s="27" t="s">
        <v>59</v>
      </c>
      <c r="D567" s="28" t="s">
        <v>20</v>
      </c>
      <c r="E567" s="547">
        <f>0.28+((4325*E572+226*E580+106.1*E576+509*E584)/(44.84*1000))/10</f>
        <v>16.268931995194382</v>
      </c>
    </row>
    <row r="568" spans="1:5" hidden="1" x14ac:dyDescent="0.25">
      <c r="A568" s="309" t="s">
        <v>21</v>
      </c>
      <c r="B568" s="30" t="s">
        <v>22</v>
      </c>
      <c r="C568" s="31"/>
      <c r="D568" s="33"/>
      <c r="E568" s="548"/>
    </row>
    <row r="569" spans="1:5" hidden="1" x14ac:dyDescent="0.25">
      <c r="A569" s="311" t="s">
        <v>23</v>
      </c>
      <c r="B569" s="48" t="s">
        <v>24</v>
      </c>
      <c r="C569" s="49"/>
      <c r="D569" s="49"/>
      <c r="E569" s="549"/>
    </row>
    <row r="570" spans="1:5" hidden="1" x14ac:dyDescent="0.25">
      <c r="A570" s="309" t="s">
        <v>25</v>
      </c>
      <c r="B570" s="24" t="s">
        <v>26</v>
      </c>
      <c r="C570" s="32" t="s">
        <v>41</v>
      </c>
      <c r="D570" s="24"/>
      <c r="E570" s="550">
        <f>Lapas3!D396</f>
        <v>1211.8112903225806</v>
      </c>
    </row>
    <row r="571" spans="1:5" hidden="1" x14ac:dyDescent="0.25">
      <c r="A571" s="309" t="s">
        <v>27</v>
      </c>
      <c r="B571" s="24" t="s">
        <v>28</v>
      </c>
      <c r="C571" s="5" t="s">
        <v>41</v>
      </c>
      <c r="D571" s="24"/>
      <c r="E571" s="544">
        <f>275.02+37.53</f>
        <v>312.54999999999995</v>
      </c>
    </row>
    <row r="572" spans="1:5" hidden="1" x14ac:dyDescent="0.25">
      <c r="A572" s="309" t="s">
        <v>29</v>
      </c>
      <c r="B572" s="38" t="s">
        <v>30</v>
      </c>
      <c r="C572" s="39" t="s">
        <v>41</v>
      </c>
      <c r="D572" s="24"/>
      <c r="E572" s="551">
        <f>E570+E571</f>
        <v>1524.3612903225805</v>
      </c>
    </row>
    <row r="573" spans="1:5" hidden="1" x14ac:dyDescent="0.25">
      <c r="A573" s="312" t="s">
        <v>31</v>
      </c>
      <c r="B573" s="41" t="s">
        <v>265</v>
      </c>
      <c r="C573" s="42"/>
      <c r="D573" s="42"/>
      <c r="E573" s="552"/>
    </row>
    <row r="574" spans="1:5" hidden="1" x14ac:dyDescent="0.25">
      <c r="A574" s="309" t="s">
        <v>35</v>
      </c>
      <c r="B574" s="24" t="s">
        <v>26</v>
      </c>
      <c r="C574" s="40" t="s">
        <v>33</v>
      </c>
      <c r="D574" s="24"/>
      <c r="E574" s="550"/>
    </row>
    <row r="575" spans="1:5" hidden="1" x14ac:dyDescent="0.25">
      <c r="A575" s="309" t="s">
        <v>36</v>
      </c>
      <c r="B575" s="24" t="s">
        <v>28</v>
      </c>
      <c r="C575" s="4" t="s">
        <v>33</v>
      </c>
      <c r="D575" s="24"/>
      <c r="E575" s="550"/>
    </row>
    <row r="576" spans="1:5" hidden="1" x14ac:dyDescent="0.25">
      <c r="A576" s="309" t="s">
        <v>37</v>
      </c>
      <c r="B576" s="24" t="s">
        <v>30</v>
      </c>
      <c r="C576" s="43" t="s">
        <v>33</v>
      </c>
      <c r="D576" s="24"/>
      <c r="E576" s="551">
        <v>602.46</v>
      </c>
    </row>
    <row r="577" spans="1:5" hidden="1" x14ac:dyDescent="0.25">
      <c r="A577" s="312" t="s">
        <v>31</v>
      </c>
      <c r="B577" s="41" t="s">
        <v>266</v>
      </c>
      <c r="C577" s="42"/>
      <c r="D577" s="42"/>
      <c r="E577" s="552"/>
    </row>
    <row r="578" spans="1:5" hidden="1" x14ac:dyDescent="0.25">
      <c r="A578" s="309" t="s">
        <v>35</v>
      </c>
      <c r="B578" s="24" t="s">
        <v>26</v>
      </c>
      <c r="C578" s="40" t="s">
        <v>33</v>
      </c>
      <c r="D578" s="24"/>
      <c r="E578" s="550"/>
    </row>
    <row r="579" spans="1:5" hidden="1" x14ac:dyDescent="0.25">
      <c r="A579" s="309" t="s">
        <v>36</v>
      </c>
      <c r="B579" s="24" t="s">
        <v>28</v>
      </c>
      <c r="C579" s="4" t="s">
        <v>33</v>
      </c>
      <c r="D579" s="24"/>
      <c r="E579" s="550"/>
    </row>
    <row r="580" spans="1:5" hidden="1" x14ac:dyDescent="0.25">
      <c r="A580" s="309" t="s">
        <v>37</v>
      </c>
      <c r="B580" s="24" t="s">
        <v>30</v>
      </c>
      <c r="C580" s="43" t="s">
        <v>33</v>
      </c>
      <c r="D580" s="24"/>
      <c r="E580" s="551">
        <v>447.78</v>
      </c>
    </row>
    <row r="581" spans="1:5" hidden="1" x14ac:dyDescent="0.25">
      <c r="A581" s="313" t="s">
        <v>34</v>
      </c>
      <c r="B581" s="45" t="s">
        <v>103</v>
      </c>
      <c r="C581" s="46"/>
      <c r="D581" s="46"/>
      <c r="E581" s="553"/>
    </row>
    <row r="582" spans="1:5" hidden="1" x14ac:dyDescent="0.25">
      <c r="A582" s="314" t="s">
        <v>38</v>
      </c>
      <c r="B582" s="44" t="s">
        <v>26</v>
      </c>
      <c r="C582" s="40" t="s">
        <v>33</v>
      </c>
      <c r="D582" s="24"/>
      <c r="E582" s="550">
        <f>Lapas3!D453</f>
        <v>0</v>
      </c>
    </row>
    <row r="583" spans="1:5" hidden="1" x14ac:dyDescent="0.25">
      <c r="A583" s="314" t="s">
        <v>39</v>
      </c>
      <c r="B583" s="24" t="s">
        <v>28</v>
      </c>
      <c r="C583" s="4" t="s">
        <v>33</v>
      </c>
      <c r="D583" s="24"/>
      <c r="E583" s="544"/>
    </row>
    <row r="584" spans="1:5" hidden="1" x14ac:dyDescent="0.25">
      <c r="A584" s="21" t="s">
        <v>40</v>
      </c>
      <c r="B584" s="38" t="s">
        <v>30</v>
      </c>
      <c r="C584" s="43" t="s">
        <v>33</v>
      </c>
      <c r="D584" s="24"/>
      <c r="E584" s="551">
        <v>808.36</v>
      </c>
    </row>
    <row r="585" spans="1:5" hidden="1" x14ac:dyDescent="0.25">
      <c r="A585" s="315" t="s">
        <v>42</v>
      </c>
      <c r="B585" s="51" t="s">
        <v>43</v>
      </c>
      <c r="C585" s="52"/>
      <c r="D585" s="52"/>
      <c r="E585" s="554"/>
    </row>
    <row r="586" spans="1:5" hidden="1" x14ac:dyDescent="0.25">
      <c r="A586" s="242" t="s">
        <v>44</v>
      </c>
      <c r="B586" s="24" t="s">
        <v>104</v>
      </c>
      <c r="C586" s="24"/>
      <c r="D586" s="24"/>
      <c r="E586" s="555" t="s">
        <v>106</v>
      </c>
    </row>
    <row r="587" spans="1:5" hidden="1" x14ac:dyDescent="0.25">
      <c r="A587" s="242" t="s">
        <v>45</v>
      </c>
      <c r="B587" s="24" t="s">
        <v>105</v>
      </c>
      <c r="C587" s="11" t="s">
        <v>59</v>
      </c>
      <c r="D587" s="24"/>
      <c r="E587" s="544">
        <v>0</v>
      </c>
    </row>
    <row r="588" spans="1:5" ht="17.25" hidden="1" x14ac:dyDescent="0.3">
      <c r="A588" s="316" t="s">
        <v>46</v>
      </c>
      <c r="B588" s="136" t="s">
        <v>172</v>
      </c>
      <c r="C588" s="139" t="s">
        <v>59</v>
      </c>
      <c r="D588" s="140" t="s">
        <v>181</v>
      </c>
      <c r="E588" s="563">
        <f>E589+E590</f>
        <v>20.838931995194383</v>
      </c>
    </row>
    <row r="589" spans="1:5" ht="18.75" hidden="1" x14ac:dyDescent="0.35">
      <c r="A589" s="242" t="s">
        <v>48</v>
      </c>
      <c r="B589" s="24" t="s">
        <v>49</v>
      </c>
      <c r="C589" s="53" t="s">
        <v>59</v>
      </c>
      <c r="D589" s="122" t="s">
        <v>173</v>
      </c>
      <c r="E589" s="550">
        <f>E566</f>
        <v>4.57</v>
      </c>
    </row>
    <row r="590" spans="1:5" ht="33" hidden="1" x14ac:dyDescent="0.25">
      <c r="A590" s="310" t="s">
        <v>50</v>
      </c>
      <c r="B590" s="35" t="s">
        <v>51</v>
      </c>
      <c r="C590" s="27" t="s">
        <v>59</v>
      </c>
      <c r="D590" s="54" t="s">
        <v>20</v>
      </c>
      <c r="E590" s="557">
        <f>E567</f>
        <v>16.268931995194382</v>
      </c>
    </row>
    <row r="591" spans="1:5" hidden="1" x14ac:dyDescent="0.25">
      <c r="A591" s="242" t="s">
        <v>52</v>
      </c>
      <c r="B591" s="55" t="s">
        <v>53</v>
      </c>
      <c r="C591" s="33"/>
      <c r="D591" s="33"/>
      <c r="E591" s="548"/>
    </row>
    <row r="592" spans="1:5" hidden="1" x14ac:dyDescent="0.25">
      <c r="A592" s="242" t="s">
        <v>54</v>
      </c>
      <c r="B592" s="24" t="s">
        <v>55</v>
      </c>
      <c r="C592" s="11" t="s">
        <v>56</v>
      </c>
      <c r="D592" s="24"/>
      <c r="E592" s="544">
        <v>33.57</v>
      </c>
    </row>
    <row r="593" spans="1:5" hidden="1" x14ac:dyDescent="0.25">
      <c r="A593" s="242" t="s">
        <v>57</v>
      </c>
      <c r="B593" s="24" t="s">
        <v>58</v>
      </c>
      <c r="C593" s="11" t="s">
        <v>59</v>
      </c>
      <c r="D593" s="56" t="s">
        <v>47</v>
      </c>
      <c r="E593" s="544"/>
    </row>
    <row r="594" spans="1:5" hidden="1" x14ac:dyDescent="0.25">
      <c r="A594" s="307" t="s">
        <v>60</v>
      </c>
      <c r="B594" s="866" t="s">
        <v>61</v>
      </c>
      <c r="C594" s="867"/>
      <c r="D594" s="867"/>
      <c r="E594" s="868"/>
    </row>
    <row r="595" spans="1:5" ht="17.25" hidden="1" x14ac:dyDescent="0.3">
      <c r="A595" s="12" t="s">
        <v>62</v>
      </c>
      <c r="B595" s="16" t="s">
        <v>182</v>
      </c>
      <c r="C595" s="9" t="s">
        <v>59</v>
      </c>
      <c r="D595" s="140" t="s">
        <v>180</v>
      </c>
      <c r="E595" s="546">
        <f>E596+E597</f>
        <v>6.7926028629044506</v>
      </c>
    </row>
    <row r="596" spans="1:5" ht="18.75" hidden="1" x14ac:dyDescent="0.35">
      <c r="A596" s="13" t="s">
        <v>63</v>
      </c>
      <c r="B596" s="14" t="s">
        <v>64</v>
      </c>
      <c r="C596" s="11" t="s">
        <v>59</v>
      </c>
      <c r="D596" s="122" t="s">
        <v>174</v>
      </c>
      <c r="E596" s="544">
        <v>2.39</v>
      </c>
    </row>
    <row r="597" spans="1:5" ht="18.75" hidden="1" x14ac:dyDescent="0.25">
      <c r="A597" s="13" t="s">
        <v>65</v>
      </c>
      <c r="B597" s="15" t="s">
        <v>66</v>
      </c>
      <c r="C597" s="20"/>
      <c r="D597" s="134" t="s">
        <v>175</v>
      </c>
      <c r="E597" s="550">
        <f>0.39+(7.24*E565/37.6)</f>
        <v>4.40260286290445</v>
      </c>
    </row>
    <row r="598" spans="1:5" hidden="1" x14ac:dyDescent="0.25">
      <c r="A598" s="12" t="s">
        <v>67</v>
      </c>
      <c r="B598" s="16" t="s">
        <v>68</v>
      </c>
      <c r="C598" s="9"/>
      <c r="D598" s="24"/>
      <c r="E598" s="544"/>
    </row>
    <row r="599" spans="1:5" hidden="1" x14ac:dyDescent="0.25">
      <c r="A599" s="12" t="s">
        <v>69</v>
      </c>
      <c r="B599" s="17" t="s">
        <v>55</v>
      </c>
      <c r="C599" s="10" t="s">
        <v>56</v>
      </c>
      <c r="D599" s="24"/>
      <c r="E599" s="544"/>
    </row>
    <row r="600" spans="1:5" ht="18.75" hidden="1" x14ac:dyDescent="0.35">
      <c r="A600" s="12" t="s">
        <v>70</v>
      </c>
      <c r="B600" s="17" t="s">
        <v>71</v>
      </c>
      <c r="C600" s="11" t="s">
        <v>59</v>
      </c>
      <c r="D600" s="122" t="s">
        <v>176</v>
      </c>
      <c r="E600" s="544"/>
    </row>
    <row r="601" spans="1:5" hidden="1" x14ac:dyDescent="0.25">
      <c r="A601" s="317" t="s">
        <v>72</v>
      </c>
      <c r="B601" s="869" t="s">
        <v>73</v>
      </c>
      <c r="C601" s="870"/>
      <c r="D601" s="870"/>
      <c r="E601" s="871"/>
    </row>
    <row r="602" spans="1:5" hidden="1" x14ac:dyDescent="0.25">
      <c r="A602" s="864" t="s">
        <v>79</v>
      </c>
      <c r="B602" s="18" t="s">
        <v>74</v>
      </c>
      <c r="C602" s="11" t="s">
        <v>59</v>
      </c>
      <c r="D602" s="124" t="s">
        <v>106</v>
      </c>
      <c r="E602" s="558">
        <v>0.31</v>
      </c>
    </row>
    <row r="603" spans="1:5" hidden="1" x14ac:dyDescent="0.25">
      <c r="A603" s="865"/>
      <c r="B603" s="19" t="s">
        <v>75</v>
      </c>
      <c r="C603" s="53" t="s">
        <v>76</v>
      </c>
      <c r="D603" s="124" t="s">
        <v>106</v>
      </c>
      <c r="E603" s="558">
        <v>2.3199999999999998</v>
      </c>
    </row>
    <row r="604" spans="1:5" ht="15.75" hidden="1" thickBot="1" x14ac:dyDescent="0.3">
      <c r="A604" s="865"/>
      <c r="B604" s="19" t="s">
        <v>77</v>
      </c>
      <c r="C604" s="123" t="s">
        <v>78</v>
      </c>
      <c r="D604" s="124" t="s">
        <v>106</v>
      </c>
      <c r="E604" s="558">
        <v>46.02</v>
      </c>
    </row>
    <row r="605" spans="1:5" hidden="1" x14ac:dyDescent="0.25">
      <c r="A605" s="317" t="s">
        <v>80</v>
      </c>
      <c r="B605" s="127" t="s">
        <v>81</v>
      </c>
      <c r="C605" s="11" t="s">
        <v>59</v>
      </c>
      <c r="D605" s="62"/>
      <c r="E605" s="558">
        <v>0.12</v>
      </c>
    </row>
    <row r="606" spans="1:5" hidden="1" x14ac:dyDescent="0.25">
      <c r="A606" s="317" t="s">
        <v>82</v>
      </c>
      <c r="B606" s="127" t="s">
        <v>83</v>
      </c>
      <c r="C606" s="11" t="s">
        <v>59</v>
      </c>
      <c r="D606" s="62"/>
      <c r="E606" s="558">
        <v>-0.27</v>
      </c>
    </row>
    <row r="607" spans="1:5" hidden="1" x14ac:dyDescent="0.25">
      <c r="A607" s="317" t="s">
        <v>84</v>
      </c>
      <c r="B607" s="127" t="s">
        <v>267</v>
      </c>
      <c r="C607" s="11" t="s">
        <v>59</v>
      </c>
      <c r="D607" s="62"/>
      <c r="E607" s="559">
        <f>E565+E595+E605+E606+E602</f>
        <v>27.791534858098832</v>
      </c>
    </row>
    <row r="608" spans="1:5" hidden="1" x14ac:dyDescent="0.25">
      <c r="A608" s="317" t="s">
        <v>85</v>
      </c>
      <c r="B608" s="127" t="s">
        <v>86</v>
      </c>
      <c r="C608" s="11" t="s">
        <v>59</v>
      </c>
      <c r="D608" s="62"/>
      <c r="E608" s="558">
        <v>0</v>
      </c>
    </row>
    <row r="609" spans="1:5" hidden="1" x14ac:dyDescent="0.25">
      <c r="A609" s="317" t="s">
        <v>87</v>
      </c>
      <c r="B609" s="127" t="s">
        <v>88</v>
      </c>
      <c r="C609" s="9" t="s">
        <v>59</v>
      </c>
      <c r="D609" s="129"/>
      <c r="E609" s="559">
        <f>E607</f>
        <v>27.791534858098832</v>
      </c>
    </row>
    <row r="610" spans="1:5" hidden="1" x14ac:dyDescent="0.25">
      <c r="A610" s="317" t="s">
        <v>89</v>
      </c>
      <c r="B610" s="127" t="s">
        <v>90</v>
      </c>
      <c r="C610" s="9" t="s">
        <v>59</v>
      </c>
      <c r="D610" s="129"/>
      <c r="E610" s="560">
        <f>E609*1.09</f>
        <v>30.292772995327727</v>
      </c>
    </row>
    <row r="611" spans="1:5" hidden="1" x14ac:dyDescent="0.25">
      <c r="A611" s="317" t="s">
        <v>91</v>
      </c>
      <c r="B611" s="127" t="s">
        <v>92</v>
      </c>
      <c r="C611" s="9" t="s">
        <v>59</v>
      </c>
      <c r="D611" s="129"/>
      <c r="E611" s="560">
        <f>E512</f>
        <v>28.039437351918917</v>
      </c>
    </row>
    <row r="612" spans="1:5" hidden="1" x14ac:dyDescent="0.25">
      <c r="A612" s="317" t="s">
        <v>93</v>
      </c>
      <c r="B612" s="127" t="s">
        <v>94</v>
      </c>
      <c r="C612" s="126" t="s">
        <v>95</v>
      </c>
      <c r="D612" s="129"/>
      <c r="E612" s="560">
        <f>(E607/E611)*100-100</f>
        <v>-0.8841207856944493</v>
      </c>
    </row>
    <row r="613" spans="1:5" hidden="1" x14ac:dyDescent="0.25">
      <c r="A613" s="317" t="s">
        <v>96</v>
      </c>
      <c r="B613" s="128" t="s">
        <v>97</v>
      </c>
      <c r="C613" s="130" t="s">
        <v>98</v>
      </c>
      <c r="D613" s="131"/>
      <c r="E613" s="561">
        <v>5.8677799999999998</v>
      </c>
    </row>
    <row r="614" spans="1:5" hidden="1" x14ac:dyDescent="0.25">
      <c r="A614" s="317" t="s">
        <v>99</v>
      </c>
      <c r="B614" s="128" t="s">
        <v>100</v>
      </c>
      <c r="C614" s="125" t="s">
        <v>98</v>
      </c>
      <c r="D614" s="62"/>
      <c r="E614" s="561">
        <v>5.069941</v>
      </c>
    </row>
    <row r="615" spans="1:5" ht="15.75" hidden="1" thickBot="1" x14ac:dyDescent="0.3">
      <c r="A615" s="22" t="s">
        <v>101</v>
      </c>
      <c r="B615" s="23" t="s">
        <v>102</v>
      </c>
      <c r="C615" s="318" t="s">
        <v>98</v>
      </c>
      <c r="D615" s="319"/>
      <c r="E615" s="562">
        <v>0</v>
      </c>
    </row>
    <row r="616" spans="1:5" hidden="1" x14ac:dyDescent="0.25"/>
    <row r="617" spans="1:5" hidden="1" x14ac:dyDescent="0.25"/>
    <row r="618" spans="1:5" hidden="1" x14ac:dyDescent="0.25"/>
    <row r="619" spans="1:5" hidden="1" x14ac:dyDescent="0.25">
      <c r="B619" s="306"/>
    </row>
    <row r="620" spans="1:5" hidden="1" x14ac:dyDescent="0.25">
      <c r="A620" s="298"/>
      <c r="B620" s="298"/>
      <c r="C620" s="298"/>
      <c r="D620" s="298"/>
      <c r="E620" s="480"/>
    </row>
    <row r="621" spans="1:5" hidden="1" x14ac:dyDescent="0.25">
      <c r="A621" s="298"/>
      <c r="B621" s="298"/>
      <c r="C621" s="298"/>
      <c r="D621" s="298"/>
      <c r="E621" s="480"/>
    </row>
    <row r="622" spans="1:5" hidden="1" x14ac:dyDescent="0.25"/>
    <row r="623" spans="1:5" hidden="1" x14ac:dyDescent="0.25"/>
    <row r="624" spans="1:5" hidden="1" x14ac:dyDescent="0.25"/>
    <row r="625" spans="1:5" hidden="1" x14ac:dyDescent="0.25"/>
    <row r="626" spans="1:5" hidden="1" x14ac:dyDescent="0.25"/>
    <row r="627" spans="1:5" hidden="1" x14ac:dyDescent="0.25"/>
    <row r="628" spans="1:5" hidden="1" x14ac:dyDescent="0.25"/>
    <row r="629" spans="1:5" hidden="1" x14ac:dyDescent="0.25"/>
    <row r="630" spans="1:5" hidden="1" x14ac:dyDescent="0.25"/>
    <row r="631" spans="1:5" hidden="1" x14ac:dyDescent="0.25"/>
    <row r="632" spans="1:5" hidden="1" x14ac:dyDescent="0.25"/>
    <row r="633" spans="1:5" hidden="1" x14ac:dyDescent="0.25">
      <c r="B633" t="s">
        <v>189</v>
      </c>
      <c r="C633" t="s">
        <v>193</v>
      </c>
      <c r="D633" s="146" t="s">
        <v>190</v>
      </c>
    </row>
    <row r="634" spans="1:5" hidden="1" x14ac:dyDescent="0.25">
      <c r="C634" s="153" t="s">
        <v>194</v>
      </c>
    </row>
    <row r="635" spans="1:5" hidden="1" x14ac:dyDescent="0.25"/>
    <row r="636" spans="1:5" hidden="1" x14ac:dyDescent="0.25"/>
    <row r="637" spans="1:5" hidden="1" x14ac:dyDescent="0.25"/>
    <row r="638" spans="1:5" hidden="1" x14ac:dyDescent="0.25">
      <c r="A638" s="132" t="s">
        <v>0</v>
      </c>
      <c r="B638" s="132"/>
      <c r="C638" s="132"/>
      <c r="D638" s="132"/>
      <c r="E638" s="480" t="s">
        <v>107</v>
      </c>
    </row>
    <row r="639" spans="1:5" hidden="1" x14ac:dyDescent="0.25">
      <c r="A639" s="132" t="s">
        <v>1</v>
      </c>
      <c r="B639" s="132"/>
      <c r="C639" s="132"/>
      <c r="D639" s="132" t="s">
        <v>178</v>
      </c>
      <c r="E639" s="519"/>
    </row>
    <row r="640" spans="1:5" hidden="1" x14ac:dyDescent="0.25">
      <c r="A640" s="132" t="s">
        <v>2</v>
      </c>
      <c r="B640" s="132"/>
      <c r="C640" s="132"/>
      <c r="D640" s="132" t="s">
        <v>167</v>
      </c>
      <c r="E640" s="520"/>
    </row>
    <row r="641" spans="1:5" hidden="1" x14ac:dyDescent="0.25">
      <c r="A641" s="132" t="s">
        <v>3</v>
      </c>
      <c r="B641" s="132"/>
      <c r="C641" s="132"/>
      <c r="D641" s="132" t="s">
        <v>168</v>
      </c>
      <c r="E641" s="519"/>
    </row>
    <row r="642" spans="1:5" hidden="1" x14ac:dyDescent="0.25">
      <c r="A642" s="132" t="s">
        <v>4</v>
      </c>
      <c r="B642" s="132"/>
      <c r="C642" s="132"/>
      <c r="D642" s="132" t="s">
        <v>169</v>
      </c>
      <c r="E642" s="519"/>
    </row>
    <row r="643" spans="1:5" hidden="1" x14ac:dyDescent="0.25">
      <c r="A643" s="152" t="s">
        <v>192</v>
      </c>
      <c r="B643" s="132"/>
      <c r="C643" s="132"/>
      <c r="D643" s="132"/>
      <c r="E643" s="519"/>
    </row>
    <row r="644" spans="1:5" hidden="1" x14ac:dyDescent="0.25">
      <c r="A644" s="132" t="s">
        <v>5</v>
      </c>
      <c r="B644" s="132"/>
      <c r="C644" s="132"/>
      <c r="D644" s="132" t="s">
        <v>170</v>
      </c>
      <c r="E644" s="519"/>
    </row>
    <row r="645" spans="1:5" hidden="1" x14ac:dyDescent="0.25">
      <c r="A645" s="1"/>
      <c r="B645" s="1"/>
      <c r="C645" s="1"/>
      <c r="D645" s="1"/>
      <c r="E645" s="463"/>
    </row>
    <row r="646" spans="1:5" ht="15.75" hidden="1" x14ac:dyDescent="0.25">
      <c r="A646" s="141"/>
      <c r="B646" s="141" t="s">
        <v>268</v>
      </c>
      <c r="C646" s="2"/>
      <c r="D646" s="2"/>
    </row>
    <row r="647" spans="1:5" ht="15.75" hidden="1" x14ac:dyDescent="0.25">
      <c r="A647" s="141"/>
      <c r="B647" s="141"/>
      <c r="C647" s="150">
        <v>41690</v>
      </c>
      <c r="D647" s="2"/>
    </row>
    <row r="648" spans="1:5" ht="15.75" hidden="1" x14ac:dyDescent="0.25">
      <c r="A648" s="141"/>
      <c r="B648" s="141"/>
      <c r="C648" s="151" t="s">
        <v>191</v>
      </c>
      <c r="D648" s="2"/>
    </row>
    <row r="649" spans="1:5" hidden="1" x14ac:dyDescent="0.25">
      <c r="A649" s="2" t="s">
        <v>6</v>
      </c>
      <c r="B649" s="2"/>
      <c r="C649" s="2"/>
      <c r="D649" s="2"/>
      <c r="E649" s="522"/>
    </row>
    <row r="650" spans="1:5" hidden="1" x14ac:dyDescent="0.25">
      <c r="A650" s="1" t="s">
        <v>260</v>
      </c>
      <c r="B650" s="1"/>
      <c r="C650" s="1"/>
      <c r="D650" s="1"/>
      <c r="E650" s="463"/>
    </row>
    <row r="651" spans="1:5" hidden="1" x14ac:dyDescent="0.25">
      <c r="A651" s="1" t="s">
        <v>7</v>
      </c>
      <c r="B651" s="1"/>
      <c r="C651" s="1"/>
      <c r="D651" s="1"/>
      <c r="E651" s="463"/>
    </row>
    <row r="652" spans="1:5" hidden="1" x14ac:dyDescent="0.25">
      <c r="A652" s="237" t="s">
        <v>237</v>
      </c>
      <c r="B652" s="237"/>
      <c r="C652" s="237"/>
      <c r="D652" s="237"/>
      <c r="E652" s="463"/>
    </row>
    <row r="653" spans="1:5" hidden="1" x14ac:dyDescent="0.25">
      <c r="A653" s="238" t="s">
        <v>8</v>
      </c>
      <c r="B653" s="239" t="s">
        <v>9</v>
      </c>
      <c r="C653" s="239" t="s">
        <v>10</v>
      </c>
      <c r="D653" s="239" t="s">
        <v>11</v>
      </c>
      <c r="E653" s="543" t="s">
        <v>12</v>
      </c>
    </row>
    <row r="654" spans="1:5" hidden="1" x14ac:dyDescent="0.25">
      <c r="A654" s="242">
        <v>1</v>
      </c>
      <c r="B654" s="24">
        <v>2</v>
      </c>
      <c r="C654" s="24">
        <v>3</v>
      </c>
      <c r="D654" s="24">
        <v>4</v>
      </c>
      <c r="E654" s="544">
        <v>5</v>
      </c>
    </row>
    <row r="655" spans="1:5" hidden="1" x14ac:dyDescent="0.25">
      <c r="A655" s="307" t="s">
        <v>13</v>
      </c>
      <c r="B655" s="26" t="s">
        <v>14</v>
      </c>
      <c r="C655" s="26"/>
      <c r="D655" s="26"/>
      <c r="E655" s="545"/>
    </row>
    <row r="656" spans="1:5" ht="17.25" hidden="1" x14ac:dyDescent="0.3">
      <c r="A656" s="307" t="s">
        <v>15</v>
      </c>
      <c r="B656" s="133" t="s">
        <v>183</v>
      </c>
      <c r="C656" s="9" t="s">
        <v>59</v>
      </c>
      <c r="D656" s="308" t="s">
        <v>179</v>
      </c>
      <c r="E656" s="546">
        <f>E657+E658</f>
        <v>21.119502260838974</v>
      </c>
    </row>
    <row r="657" spans="1:5" ht="18.75" hidden="1" x14ac:dyDescent="0.35">
      <c r="A657" s="309" t="s">
        <v>16</v>
      </c>
      <c r="B657" s="24" t="s">
        <v>18</v>
      </c>
      <c r="C657" s="11" t="s">
        <v>59</v>
      </c>
      <c r="D657" s="122" t="s">
        <v>171</v>
      </c>
      <c r="E657" s="527">
        <v>4.57</v>
      </c>
    </row>
    <row r="658" spans="1:5" ht="33" hidden="1" x14ac:dyDescent="0.25">
      <c r="A658" s="310" t="s">
        <v>17</v>
      </c>
      <c r="B658" s="149" t="s">
        <v>19</v>
      </c>
      <c r="C658" s="27" t="s">
        <v>59</v>
      </c>
      <c r="D658" s="28" t="s">
        <v>20</v>
      </c>
      <c r="E658" s="547">
        <f>0.28+((4325*E663+226*E671+106.1*E667+509*E675)/(44.84*1000))/10</f>
        <v>16.549502260838974</v>
      </c>
    </row>
    <row r="659" spans="1:5" hidden="1" x14ac:dyDescent="0.25">
      <c r="A659" s="309" t="s">
        <v>21</v>
      </c>
      <c r="B659" s="30" t="s">
        <v>22</v>
      </c>
      <c r="C659" s="31"/>
      <c r="D659" s="33"/>
      <c r="E659" s="548"/>
    </row>
    <row r="660" spans="1:5" hidden="1" x14ac:dyDescent="0.25">
      <c r="A660" s="311" t="s">
        <v>23</v>
      </c>
      <c r="B660" s="48" t="s">
        <v>24</v>
      </c>
      <c r="C660" s="49"/>
      <c r="D660" s="49"/>
      <c r="E660" s="549"/>
    </row>
    <row r="661" spans="1:5" hidden="1" x14ac:dyDescent="0.25">
      <c r="A661" s="309" t="s">
        <v>25</v>
      </c>
      <c r="B661" s="24" t="s">
        <v>26</v>
      </c>
      <c r="C661" s="32" t="s">
        <v>41</v>
      </c>
      <c r="D661" s="24"/>
      <c r="E661" s="550">
        <f>Lapas3!D478</f>
        <v>1238.5999950890623</v>
      </c>
    </row>
    <row r="662" spans="1:5" hidden="1" x14ac:dyDescent="0.25">
      <c r="A662" s="309" t="s">
        <v>27</v>
      </c>
      <c r="B662" s="24" t="s">
        <v>28</v>
      </c>
      <c r="C662" s="5" t="s">
        <v>41</v>
      </c>
      <c r="D662" s="24"/>
      <c r="E662" s="544">
        <v>313.23</v>
      </c>
    </row>
    <row r="663" spans="1:5" hidden="1" x14ac:dyDescent="0.25">
      <c r="A663" s="309" t="s">
        <v>29</v>
      </c>
      <c r="B663" s="38" t="s">
        <v>30</v>
      </c>
      <c r="C663" s="39" t="s">
        <v>41</v>
      </c>
      <c r="D663" s="24"/>
      <c r="E663" s="551">
        <f>E661+E662</f>
        <v>1551.8299950890623</v>
      </c>
    </row>
    <row r="664" spans="1:5" hidden="1" x14ac:dyDescent="0.25">
      <c r="A664" s="312" t="s">
        <v>31</v>
      </c>
      <c r="B664" s="41" t="s">
        <v>265</v>
      </c>
      <c r="C664" s="42"/>
      <c r="D664" s="42"/>
      <c r="E664" s="552"/>
    </row>
    <row r="665" spans="1:5" hidden="1" x14ac:dyDescent="0.25">
      <c r="A665" s="309" t="s">
        <v>35</v>
      </c>
      <c r="B665" s="24" t="s">
        <v>26</v>
      </c>
      <c r="C665" s="40" t="s">
        <v>33</v>
      </c>
      <c r="D665" s="24"/>
      <c r="E665" s="550"/>
    </row>
    <row r="666" spans="1:5" hidden="1" x14ac:dyDescent="0.25">
      <c r="A666" s="309" t="s">
        <v>36</v>
      </c>
      <c r="B666" s="24" t="s">
        <v>28</v>
      </c>
      <c r="C666" s="4" t="s">
        <v>33</v>
      </c>
      <c r="D666" s="24"/>
      <c r="E666" s="550"/>
    </row>
    <row r="667" spans="1:5" hidden="1" x14ac:dyDescent="0.25">
      <c r="A667" s="309" t="s">
        <v>37</v>
      </c>
      <c r="B667" s="24" t="s">
        <v>30</v>
      </c>
      <c r="C667" s="43" t="s">
        <v>33</v>
      </c>
      <c r="D667" s="24"/>
      <c r="E667" s="551">
        <v>600.54999999999995</v>
      </c>
    </row>
    <row r="668" spans="1:5" hidden="1" x14ac:dyDescent="0.25">
      <c r="A668" s="312" t="s">
        <v>31</v>
      </c>
      <c r="B668" s="41" t="s">
        <v>266</v>
      </c>
      <c r="C668" s="42"/>
      <c r="D668" s="42"/>
      <c r="E668" s="552"/>
    </row>
    <row r="669" spans="1:5" hidden="1" x14ac:dyDescent="0.25">
      <c r="A669" s="309" t="s">
        <v>35</v>
      </c>
      <c r="B669" s="24" t="s">
        <v>26</v>
      </c>
      <c r="C669" s="40" t="s">
        <v>33</v>
      </c>
      <c r="D669" s="24"/>
      <c r="E669" s="550"/>
    </row>
    <row r="670" spans="1:5" hidden="1" x14ac:dyDescent="0.25">
      <c r="A670" s="309" t="s">
        <v>36</v>
      </c>
      <c r="B670" s="24" t="s">
        <v>28</v>
      </c>
      <c r="C670" s="4" t="s">
        <v>33</v>
      </c>
      <c r="D670" s="24"/>
      <c r="E670" s="550"/>
    </row>
    <row r="671" spans="1:5" hidden="1" x14ac:dyDescent="0.25">
      <c r="A671" s="309" t="s">
        <v>37</v>
      </c>
      <c r="B671" s="24" t="s">
        <v>30</v>
      </c>
      <c r="C671" s="43" t="s">
        <v>33</v>
      </c>
      <c r="D671" s="24"/>
      <c r="E671" s="551">
        <v>507.94</v>
      </c>
    </row>
    <row r="672" spans="1:5" hidden="1" x14ac:dyDescent="0.25">
      <c r="A672" s="313" t="s">
        <v>34</v>
      </c>
      <c r="B672" s="45" t="s">
        <v>103</v>
      </c>
      <c r="C672" s="46"/>
      <c r="D672" s="46"/>
      <c r="E672" s="553"/>
    </row>
    <row r="673" spans="1:5" hidden="1" x14ac:dyDescent="0.25">
      <c r="A673" s="314" t="s">
        <v>38</v>
      </c>
      <c r="B673" s="44" t="s">
        <v>26</v>
      </c>
      <c r="C673" s="40" t="s">
        <v>33</v>
      </c>
      <c r="D673" s="24"/>
      <c r="E673" s="550">
        <f>Lapas3!D544</f>
        <v>0</v>
      </c>
    </row>
    <row r="674" spans="1:5" hidden="1" x14ac:dyDescent="0.25">
      <c r="A674" s="314" t="s">
        <v>39</v>
      </c>
      <c r="B674" s="24" t="s">
        <v>28</v>
      </c>
      <c r="C674" s="4" t="s">
        <v>33</v>
      </c>
      <c r="D674" s="24"/>
      <c r="E674" s="544"/>
    </row>
    <row r="675" spans="1:5" hidden="1" x14ac:dyDescent="0.25">
      <c r="A675" s="21" t="s">
        <v>40</v>
      </c>
      <c r="B675" s="38" t="s">
        <v>30</v>
      </c>
      <c r="C675" s="43" t="s">
        <v>33</v>
      </c>
      <c r="D675" s="24"/>
      <c r="E675" s="551">
        <v>795.81</v>
      </c>
    </row>
    <row r="676" spans="1:5" hidden="1" x14ac:dyDescent="0.25">
      <c r="A676" s="315" t="s">
        <v>42</v>
      </c>
      <c r="B676" s="51" t="s">
        <v>43</v>
      </c>
      <c r="C676" s="52"/>
      <c r="D676" s="52"/>
      <c r="E676" s="554"/>
    </row>
    <row r="677" spans="1:5" hidden="1" x14ac:dyDescent="0.25">
      <c r="A677" s="242" t="s">
        <v>44</v>
      </c>
      <c r="B677" s="24" t="s">
        <v>104</v>
      </c>
      <c r="C677" s="24"/>
      <c r="D677" s="24"/>
      <c r="E677" s="555" t="s">
        <v>106</v>
      </c>
    </row>
    <row r="678" spans="1:5" hidden="1" x14ac:dyDescent="0.25">
      <c r="A678" s="242" t="s">
        <v>45</v>
      </c>
      <c r="B678" s="24" t="s">
        <v>105</v>
      </c>
      <c r="C678" s="11" t="s">
        <v>59</v>
      </c>
      <c r="D678" s="24"/>
      <c r="E678" s="544">
        <v>0</v>
      </c>
    </row>
    <row r="679" spans="1:5" ht="17.25" hidden="1" x14ac:dyDescent="0.3">
      <c r="A679" s="316" t="s">
        <v>46</v>
      </c>
      <c r="B679" s="136" t="s">
        <v>172</v>
      </c>
      <c r="C679" s="139" t="s">
        <v>59</v>
      </c>
      <c r="D679" s="140" t="s">
        <v>181</v>
      </c>
      <c r="E679" s="563">
        <f>E680+E681</f>
        <v>21.119502260838974</v>
      </c>
    </row>
    <row r="680" spans="1:5" ht="18.75" hidden="1" x14ac:dyDescent="0.35">
      <c r="A680" s="242" t="s">
        <v>48</v>
      </c>
      <c r="B680" s="24" t="s">
        <v>49</v>
      </c>
      <c r="C680" s="53" t="s">
        <v>59</v>
      </c>
      <c r="D680" s="122" t="s">
        <v>173</v>
      </c>
      <c r="E680" s="550">
        <f>E657</f>
        <v>4.57</v>
      </c>
    </row>
    <row r="681" spans="1:5" ht="33" hidden="1" x14ac:dyDescent="0.25">
      <c r="A681" s="310" t="s">
        <v>50</v>
      </c>
      <c r="B681" s="35" t="s">
        <v>51</v>
      </c>
      <c r="C681" s="27" t="s">
        <v>59</v>
      </c>
      <c r="D681" s="54" t="s">
        <v>20</v>
      </c>
      <c r="E681" s="557">
        <f>E658</f>
        <v>16.549502260838974</v>
      </c>
    </row>
    <row r="682" spans="1:5" hidden="1" x14ac:dyDescent="0.25">
      <c r="A682" s="242" t="s">
        <v>52</v>
      </c>
      <c r="B682" s="55" t="s">
        <v>53</v>
      </c>
      <c r="C682" s="33"/>
      <c r="D682" s="33"/>
      <c r="E682" s="548"/>
    </row>
    <row r="683" spans="1:5" hidden="1" x14ac:dyDescent="0.25">
      <c r="A683" s="242" t="s">
        <v>54</v>
      </c>
      <c r="B683" s="24" t="s">
        <v>55</v>
      </c>
      <c r="C683" s="11" t="s">
        <v>56</v>
      </c>
      <c r="D683" s="24"/>
      <c r="E683" s="544">
        <v>33.57</v>
      </c>
    </row>
    <row r="684" spans="1:5" hidden="1" x14ac:dyDescent="0.25">
      <c r="A684" s="242" t="s">
        <v>57</v>
      </c>
      <c r="B684" s="24" t="s">
        <v>58</v>
      </c>
      <c r="C684" s="11" t="s">
        <v>59</v>
      </c>
      <c r="D684" s="56" t="s">
        <v>47</v>
      </c>
      <c r="E684" s="544"/>
    </row>
    <row r="685" spans="1:5" hidden="1" x14ac:dyDescent="0.25">
      <c r="A685" s="307" t="s">
        <v>60</v>
      </c>
      <c r="B685" s="866" t="s">
        <v>61</v>
      </c>
      <c r="C685" s="867"/>
      <c r="D685" s="867"/>
      <c r="E685" s="868"/>
    </row>
    <row r="686" spans="1:5" ht="17.25" hidden="1" x14ac:dyDescent="0.3">
      <c r="A686" s="12" t="s">
        <v>62</v>
      </c>
      <c r="B686" s="16" t="s">
        <v>182</v>
      </c>
      <c r="C686" s="9" t="s">
        <v>59</v>
      </c>
      <c r="D686" s="140" t="s">
        <v>180</v>
      </c>
      <c r="E686" s="546">
        <f>E687+E688</f>
        <v>6.8466275629913333</v>
      </c>
    </row>
    <row r="687" spans="1:5" ht="18.75" hidden="1" x14ac:dyDescent="0.35">
      <c r="A687" s="13" t="s">
        <v>63</v>
      </c>
      <c r="B687" s="14" t="s">
        <v>64</v>
      </c>
      <c r="C687" s="11" t="s">
        <v>59</v>
      </c>
      <c r="D687" s="122" t="s">
        <v>174</v>
      </c>
      <c r="E687" s="544">
        <v>2.39</v>
      </c>
    </row>
    <row r="688" spans="1:5" ht="18.75" hidden="1" x14ac:dyDescent="0.25">
      <c r="A688" s="13" t="s">
        <v>65</v>
      </c>
      <c r="B688" s="15" t="s">
        <v>66</v>
      </c>
      <c r="C688" s="20"/>
      <c r="D688" s="134" t="s">
        <v>175</v>
      </c>
      <c r="E688" s="550">
        <f>0.39+(7.24*E656/37.6)</f>
        <v>4.4566275629913337</v>
      </c>
    </row>
    <row r="689" spans="1:5" hidden="1" x14ac:dyDescent="0.25">
      <c r="A689" s="12" t="s">
        <v>67</v>
      </c>
      <c r="B689" s="16" t="s">
        <v>68</v>
      </c>
      <c r="C689" s="9"/>
      <c r="D689" s="24"/>
      <c r="E689" s="544"/>
    </row>
    <row r="690" spans="1:5" hidden="1" x14ac:dyDescent="0.25">
      <c r="A690" s="12" t="s">
        <v>69</v>
      </c>
      <c r="B690" s="17" t="s">
        <v>55</v>
      </c>
      <c r="C690" s="10" t="s">
        <v>56</v>
      </c>
      <c r="D690" s="24"/>
      <c r="E690" s="544"/>
    </row>
    <row r="691" spans="1:5" ht="18.75" hidden="1" x14ac:dyDescent="0.35">
      <c r="A691" s="12" t="s">
        <v>70</v>
      </c>
      <c r="B691" s="17" t="s">
        <v>71</v>
      </c>
      <c r="C691" s="11" t="s">
        <v>59</v>
      </c>
      <c r="D691" s="122" t="s">
        <v>176</v>
      </c>
      <c r="E691" s="544"/>
    </row>
    <row r="692" spans="1:5" hidden="1" x14ac:dyDescent="0.25">
      <c r="A692" s="317" t="s">
        <v>72</v>
      </c>
      <c r="B692" s="869" t="s">
        <v>73</v>
      </c>
      <c r="C692" s="870"/>
      <c r="D692" s="870"/>
      <c r="E692" s="871"/>
    </row>
    <row r="693" spans="1:5" hidden="1" x14ac:dyDescent="0.25">
      <c r="A693" s="864" t="s">
        <v>79</v>
      </c>
      <c r="B693" s="18" t="s">
        <v>74</v>
      </c>
      <c r="C693" s="11" t="s">
        <v>59</v>
      </c>
      <c r="D693" s="124" t="s">
        <v>106</v>
      </c>
      <c r="E693" s="558">
        <v>0.31</v>
      </c>
    </row>
    <row r="694" spans="1:5" hidden="1" x14ac:dyDescent="0.25">
      <c r="A694" s="865"/>
      <c r="B694" s="19" t="s">
        <v>75</v>
      </c>
      <c r="C694" s="53" t="s">
        <v>76</v>
      </c>
      <c r="D694" s="124" t="s">
        <v>106</v>
      </c>
      <c r="E694" s="558">
        <v>2.3199999999999998</v>
      </c>
    </row>
    <row r="695" spans="1:5" ht="15.75" hidden="1" thickBot="1" x14ac:dyDescent="0.3">
      <c r="A695" s="865"/>
      <c r="B695" s="19" t="s">
        <v>77</v>
      </c>
      <c r="C695" s="123" t="s">
        <v>78</v>
      </c>
      <c r="D695" s="124" t="s">
        <v>106</v>
      </c>
      <c r="E695" s="558">
        <v>46.02</v>
      </c>
    </row>
    <row r="696" spans="1:5" hidden="1" x14ac:dyDescent="0.25">
      <c r="A696" s="317" t="s">
        <v>80</v>
      </c>
      <c r="B696" s="127" t="s">
        <v>81</v>
      </c>
      <c r="C696" s="11" t="s">
        <v>59</v>
      </c>
      <c r="D696" s="62"/>
      <c r="E696" s="558">
        <v>0.12</v>
      </c>
    </row>
    <row r="697" spans="1:5" hidden="1" x14ac:dyDescent="0.25">
      <c r="A697" s="317" t="s">
        <v>82</v>
      </c>
      <c r="B697" s="127" t="s">
        <v>83</v>
      </c>
      <c r="C697" s="11" t="s">
        <v>59</v>
      </c>
      <c r="D697" s="62"/>
      <c r="E697" s="558">
        <v>-0.27</v>
      </c>
    </row>
    <row r="698" spans="1:5" hidden="1" x14ac:dyDescent="0.25">
      <c r="A698" s="317" t="s">
        <v>84</v>
      </c>
      <c r="B698" s="127" t="s">
        <v>267</v>
      </c>
      <c r="C698" s="11" t="s">
        <v>59</v>
      </c>
      <c r="D698" s="62"/>
      <c r="E698" s="559">
        <f>E656+E686+E696+E697+E693</f>
        <v>28.126129823830308</v>
      </c>
    </row>
    <row r="699" spans="1:5" hidden="1" x14ac:dyDescent="0.25">
      <c r="A699" s="317" t="s">
        <v>85</v>
      </c>
      <c r="B699" s="127" t="s">
        <v>86</v>
      </c>
      <c r="C699" s="11" t="s">
        <v>59</v>
      </c>
      <c r="D699" s="62"/>
      <c r="E699" s="558">
        <v>0</v>
      </c>
    </row>
    <row r="700" spans="1:5" hidden="1" x14ac:dyDescent="0.25">
      <c r="A700" s="317" t="s">
        <v>87</v>
      </c>
      <c r="B700" s="127" t="s">
        <v>88</v>
      </c>
      <c r="C700" s="9" t="s">
        <v>59</v>
      </c>
      <c r="D700" s="129"/>
      <c r="E700" s="559">
        <f>E698</f>
        <v>28.126129823830308</v>
      </c>
    </row>
    <row r="701" spans="1:5" hidden="1" x14ac:dyDescent="0.25">
      <c r="A701" s="317" t="s">
        <v>89</v>
      </c>
      <c r="B701" s="127" t="s">
        <v>90</v>
      </c>
      <c r="C701" s="9" t="s">
        <v>59</v>
      </c>
      <c r="D701" s="129"/>
      <c r="E701" s="560">
        <f>E700*1.09</f>
        <v>30.657481507975039</v>
      </c>
    </row>
    <row r="702" spans="1:5" hidden="1" x14ac:dyDescent="0.25">
      <c r="A702" s="317" t="s">
        <v>91</v>
      </c>
      <c r="B702" s="127" t="s">
        <v>92</v>
      </c>
      <c r="C702" s="9" t="s">
        <v>59</v>
      </c>
      <c r="D702" s="129"/>
      <c r="E702" s="560">
        <f>E609</f>
        <v>27.791534858098832</v>
      </c>
    </row>
    <row r="703" spans="1:5" hidden="1" x14ac:dyDescent="0.25">
      <c r="A703" s="317" t="s">
        <v>93</v>
      </c>
      <c r="B703" s="127" t="s">
        <v>94</v>
      </c>
      <c r="C703" s="126" t="s">
        <v>95</v>
      </c>
      <c r="D703" s="129"/>
      <c r="E703" s="560">
        <f>(E698/E702)*100-100</f>
        <v>1.2039456166774869</v>
      </c>
    </row>
    <row r="704" spans="1:5" hidden="1" x14ac:dyDescent="0.25">
      <c r="A704" s="317" t="s">
        <v>96</v>
      </c>
      <c r="B704" s="128" t="s">
        <v>97</v>
      </c>
      <c r="C704" s="130" t="s">
        <v>98</v>
      </c>
      <c r="D704" s="131"/>
      <c r="E704" s="561">
        <v>8.2200000000000006</v>
      </c>
    </row>
    <row r="705" spans="1:5" hidden="1" x14ac:dyDescent="0.25">
      <c r="A705" s="317" t="s">
        <v>99</v>
      </c>
      <c r="B705" s="128" t="s">
        <v>100</v>
      </c>
      <c r="C705" s="125" t="s">
        <v>98</v>
      </c>
      <c r="D705" s="62"/>
      <c r="E705" s="561">
        <v>6.98</v>
      </c>
    </row>
    <row r="706" spans="1:5" ht="15.75" hidden="1" thickBot="1" x14ac:dyDescent="0.3">
      <c r="A706" s="22" t="s">
        <v>101</v>
      </c>
      <c r="B706" s="23" t="s">
        <v>102</v>
      </c>
      <c r="C706" s="318" t="s">
        <v>98</v>
      </c>
      <c r="D706" s="319"/>
      <c r="E706" s="562">
        <v>0</v>
      </c>
    </row>
    <row r="707" spans="1:5" hidden="1" x14ac:dyDescent="0.25"/>
    <row r="708" spans="1:5" hidden="1" x14ac:dyDescent="0.25"/>
    <row r="709" spans="1:5" hidden="1" x14ac:dyDescent="0.25"/>
    <row r="710" spans="1:5" hidden="1" x14ac:dyDescent="0.25">
      <c r="B710" s="306"/>
    </row>
    <row r="711" spans="1:5" hidden="1" x14ac:dyDescent="0.25">
      <c r="A711" s="298"/>
      <c r="B711" s="298"/>
      <c r="C711" s="298"/>
      <c r="D711" s="298"/>
      <c r="E711" s="480"/>
    </row>
    <row r="712" spans="1:5" hidden="1" x14ac:dyDescent="0.25">
      <c r="A712" s="298"/>
      <c r="B712" s="298"/>
      <c r="C712" s="298"/>
      <c r="D712" s="298"/>
      <c r="E712" s="480"/>
    </row>
    <row r="713" spans="1:5" hidden="1" x14ac:dyDescent="0.25"/>
    <row r="714" spans="1:5" hidden="1" x14ac:dyDescent="0.25"/>
    <row r="715" spans="1:5" hidden="1" x14ac:dyDescent="0.25"/>
    <row r="716" spans="1:5" hidden="1" x14ac:dyDescent="0.25"/>
    <row r="717" spans="1:5" hidden="1" x14ac:dyDescent="0.25"/>
    <row r="718" spans="1:5" hidden="1" x14ac:dyDescent="0.25"/>
    <row r="719" spans="1:5" hidden="1" x14ac:dyDescent="0.25"/>
    <row r="720" spans="1:5" hidden="1" x14ac:dyDescent="0.25"/>
    <row r="721" spans="1:5" hidden="1" x14ac:dyDescent="0.25"/>
    <row r="722" spans="1:5" hidden="1" x14ac:dyDescent="0.25"/>
    <row r="723" spans="1:5" hidden="1" x14ac:dyDescent="0.25"/>
    <row r="724" spans="1:5" hidden="1" x14ac:dyDescent="0.25">
      <c r="B724" t="s">
        <v>189</v>
      </c>
      <c r="C724" t="s">
        <v>193</v>
      </c>
      <c r="D724" s="146" t="s">
        <v>190</v>
      </c>
    </row>
    <row r="725" spans="1:5" hidden="1" x14ac:dyDescent="0.25">
      <c r="C725" s="153" t="s">
        <v>194</v>
      </c>
    </row>
    <row r="726" spans="1:5" hidden="1" x14ac:dyDescent="0.25"/>
    <row r="727" spans="1:5" hidden="1" x14ac:dyDescent="0.25"/>
    <row r="728" spans="1:5" hidden="1" x14ac:dyDescent="0.25"/>
    <row r="729" spans="1:5" hidden="1" x14ac:dyDescent="0.25">
      <c r="A729" s="132" t="s">
        <v>0</v>
      </c>
      <c r="B729" s="132"/>
      <c r="C729" s="132"/>
      <c r="D729" s="132"/>
      <c r="E729" s="480" t="s">
        <v>107</v>
      </c>
    </row>
    <row r="730" spans="1:5" hidden="1" x14ac:dyDescent="0.25">
      <c r="A730" s="132" t="s">
        <v>1</v>
      </c>
      <c r="B730" s="132"/>
      <c r="C730" s="132"/>
      <c r="D730" s="132" t="s">
        <v>178</v>
      </c>
      <c r="E730" s="519"/>
    </row>
    <row r="731" spans="1:5" hidden="1" x14ac:dyDescent="0.25">
      <c r="A731" s="132" t="s">
        <v>2</v>
      </c>
      <c r="B731" s="132"/>
      <c r="C731" s="132"/>
      <c r="D731" s="132" t="s">
        <v>167</v>
      </c>
      <c r="E731" s="520"/>
    </row>
    <row r="732" spans="1:5" hidden="1" x14ac:dyDescent="0.25">
      <c r="A732" s="132" t="s">
        <v>3</v>
      </c>
      <c r="B732" s="132"/>
      <c r="C732" s="132"/>
      <c r="D732" s="132" t="s">
        <v>168</v>
      </c>
      <c r="E732" s="519"/>
    </row>
    <row r="733" spans="1:5" hidden="1" x14ac:dyDescent="0.25">
      <c r="A733" s="132" t="s">
        <v>4</v>
      </c>
      <c r="B733" s="132"/>
      <c r="C733" s="132"/>
      <c r="D733" s="132" t="s">
        <v>169</v>
      </c>
      <c r="E733" s="519"/>
    </row>
    <row r="734" spans="1:5" hidden="1" x14ac:dyDescent="0.25">
      <c r="A734" s="152" t="s">
        <v>192</v>
      </c>
      <c r="B734" s="132"/>
      <c r="C734" s="132"/>
      <c r="D734" s="132"/>
      <c r="E734" s="519"/>
    </row>
    <row r="735" spans="1:5" hidden="1" x14ac:dyDescent="0.25">
      <c r="A735" s="132" t="s">
        <v>5</v>
      </c>
      <c r="B735" s="132"/>
      <c r="C735" s="132"/>
      <c r="D735" s="132" t="s">
        <v>170</v>
      </c>
      <c r="E735" s="519"/>
    </row>
    <row r="736" spans="1:5" hidden="1" x14ac:dyDescent="0.25">
      <c r="A736" s="1"/>
      <c r="B736" s="1"/>
      <c r="C736" s="1"/>
      <c r="D736" s="1"/>
      <c r="E736" s="463"/>
    </row>
    <row r="737" spans="1:5" ht="15.75" hidden="1" x14ac:dyDescent="0.25">
      <c r="A737" s="141"/>
      <c r="B737" s="141" t="s">
        <v>271</v>
      </c>
      <c r="C737" s="2"/>
      <c r="D737" s="2"/>
    </row>
    <row r="738" spans="1:5" ht="15.75" hidden="1" x14ac:dyDescent="0.25">
      <c r="A738" s="141"/>
      <c r="B738" s="141"/>
      <c r="C738" s="150">
        <v>41718</v>
      </c>
      <c r="D738" s="2"/>
    </row>
    <row r="739" spans="1:5" ht="15.75" hidden="1" x14ac:dyDescent="0.25">
      <c r="A739" s="141"/>
      <c r="B739" s="141"/>
      <c r="C739" s="151" t="s">
        <v>191</v>
      </c>
      <c r="D739" s="2"/>
    </row>
    <row r="740" spans="1:5" hidden="1" x14ac:dyDescent="0.25">
      <c r="A740" s="2" t="s">
        <v>6</v>
      </c>
      <c r="B740" s="2"/>
      <c r="C740" s="2"/>
      <c r="D740" s="2"/>
      <c r="E740" s="522"/>
    </row>
    <row r="741" spans="1:5" hidden="1" x14ac:dyDescent="0.25">
      <c r="A741" s="1" t="s">
        <v>260</v>
      </c>
      <c r="B741" s="1"/>
      <c r="C741" s="1"/>
      <c r="D741" s="1"/>
      <c r="E741" s="463"/>
    </row>
    <row r="742" spans="1:5" hidden="1" x14ac:dyDescent="0.25">
      <c r="A742" s="1" t="s">
        <v>7</v>
      </c>
      <c r="B742" s="1"/>
      <c r="C742" s="1"/>
      <c r="D742" s="1"/>
      <c r="E742" s="463"/>
    </row>
    <row r="743" spans="1:5" hidden="1" x14ac:dyDescent="0.25">
      <c r="A743" s="237" t="s">
        <v>237</v>
      </c>
      <c r="B743" s="237"/>
      <c r="C743" s="237"/>
      <c r="D743" s="237"/>
      <c r="E743" s="463"/>
    </row>
    <row r="744" spans="1:5" hidden="1" x14ac:dyDescent="0.25">
      <c r="A744" s="238" t="s">
        <v>8</v>
      </c>
      <c r="B744" s="239" t="s">
        <v>9</v>
      </c>
      <c r="C744" s="239" t="s">
        <v>10</v>
      </c>
      <c r="D744" s="239" t="s">
        <v>11</v>
      </c>
      <c r="E744" s="543" t="s">
        <v>12</v>
      </c>
    </row>
    <row r="745" spans="1:5" hidden="1" x14ac:dyDescent="0.25">
      <c r="A745" s="242">
        <v>1</v>
      </c>
      <c r="B745" s="24">
        <v>2</v>
      </c>
      <c r="C745" s="24">
        <v>3</v>
      </c>
      <c r="D745" s="24">
        <v>4</v>
      </c>
      <c r="E745" s="544">
        <v>5</v>
      </c>
    </row>
    <row r="746" spans="1:5" hidden="1" x14ac:dyDescent="0.25">
      <c r="A746" s="307" t="s">
        <v>13</v>
      </c>
      <c r="B746" s="26" t="s">
        <v>14</v>
      </c>
      <c r="C746" s="26"/>
      <c r="D746" s="26"/>
      <c r="E746" s="545"/>
    </row>
    <row r="747" spans="1:5" ht="17.25" hidden="1" x14ac:dyDescent="0.3">
      <c r="A747" s="307" t="s">
        <v>15</v>
      </c>
      <c r="B747" s="133" t="s">
        <v>183</v>
      </c>
      <c r="C747" s="9" t="s">
        <v>59</v>
      </c>
      <c r="D747" s="308" t="s">
        <v>179</v>
      </c>
      <c r="E747" s="546">
        <f>E748+E749</f>
        <v>20.901834402178537</v>
      </c>
    </row>
    <row r="748" spans="1:5" ht="18.75" hidden="1" x14ac:dyDescent="0.35">
      <c r="A748" s="309" t="s">
        <v>16</v>
      </c>
      <c r="B748" s="24" t="s">
        <v>18</v>
      </c>
      <c r="C748" s="11" t="s">
        <v>59</v>
      </c>
      <c r="D748" s="122" t="s">
        <v>171</v>
      </c>
      <c r="E748" s="527">
        <v>4.57</v>
      </c>
    </row>
    <row r="749" spans="1:5" ht="33" hidden="1" x14ac:dyDescent="0.25">
      <c r="A749" s="310" t="s">
        <v>17</v>
      </c>
      <c r="B749" s="149" t="s">
        <v>19</v>
      </c>
      <c r="C749" s="27" t="s">
        <v>59</v>
      </c>
      <c r="D749" s="28" t="s">
        <v>20</v>
      </c>
      <c r="E749" s="547">
        <f>0.28+((4325*E754+226*E762+106.1*E758+509*E766)/(44.84*1000))/10</f>
        <v>16.331834402178536</v>
      </c>
    </row>
    <row r="750" spans="1:5" hidden="1" x14ac:dyDescent="0.25">
      <c r="A750" s="309" t="s">
        <v>21</v>
      </c>
      <c r="B750" s="30" t="s">
        <v>22</v>
      </c>
      <c r="C750" s="31"/>
      <c r="D750" s="33"/>
      <c r="E750" s="548"/>
    </row>
    <row r="751" spans="1:5" hidden="1" x14ac:dyDescent="0.25">
      <c r="A751" s="311" t="s">
        <v>23</v>
      </c>
      <c r="B751" s="48" t="s">
        <v>24</v>
      </c>
      <c r="C751" s="49"/>
      <c r="D751" s="49"/>
      <c r="E751" s="549"/>
    </row>
    <row r="752" spans="1:5" hidden="1" x14ac:dyDescent="0.25">
      <c r="A752" s="309" t="s">
        <v>25</v>
      </c>
      <c r="B752" s="24" t="s">
        <v>26</v>
      </c>
      <c r="C752" s="32" t="s">
        <v>41</v>
      </c>
      <c r="D752" s="24"/>
      <c r="E752" s="550">
        <f>Lapas3!D528</f>
        <v>1213.2599951299087</v>
      </c>
    </row>
    <row r="753" spans="1:5" hidden="1" x14ac:dyDescent="0.25">
      <c r="A753" s="309" t="s">
        <v>27</v>
      </c>
      <c r="B753" s="24" t="s">
        <v>28</v>
      </c>
      <c r="C753" s="5" t="s">
        <v>41</v>
      </c>
      <c r="D753" s="24"/>
      <c r="E753" s="544">
        <v>313.23</v>
      </c>
    </row>
    <row r="754" spans="1:5" hidden="1" x14ac:dyDescent="0.25">
      <c r="A754" s="309" t="s">
        <v>29</v>
      </c>
      <c r="B754" s="38" t="s">
        <v>30</v>
      </c>
      <c r="C754" s="39" t="s">
        <v>41</v>
      </c>
      <c r="D754" s="24"/>
      <c r="E754" s="551">
        <f>E752+E753</f>
        <v>1526.4899951299087</v>
      </c>
    </row>
    <row r="755" spans="1:5" hidden="1" x14ac:dyDescent="0.25">
      <c r="A755" s="312" t="s">
        <v>31</v>
      </c>
      <c r="B755" s="41" t="s">
        <v>265</v>
      </c>
      <c r="C755" s="42"/>
      <c r="D755" s="42"/>
      <c r="E755" s="552"/>
    </row>
    <row r="756" spans="1:5" hidden="1" x14ac:dyDescent="0.25">
      <c r="A756" s="309" t="s">
        <v>35</v>
      </c>
      <c r="B756" s="24" t="s">
        <v>26</v>
      </c>
      <c r="C756" s="40" t="s">
        <v>33</v>
      </c>
      <c r="D756" s="24"/>
      <c r="E756" s="550"/>
    </row>
    <row r="757" spans="1:5" hidden="1" x14ac:dyDescent="0.25">
      <c r="A757" s="309" t="s">
        <v>36</v>
      </c>
      <c r="B757" s="24" t="s">
        <v>28</v>
      </c>
      <c r="C757" s="4" t="s">
        <v>33</v>
      </c>
      <c r="D757" s="24"/>
      <c r="E757" s="550"/>
    </row>
    <row r="758" spans="1:5" hidden="1" x14ac:dyDescent="0.25">
      <c r="A758" s="309" t="s">
        <v>37</v>
      </c>
      <c r="B758" s="24" t="s">
        <v>30</v>
      </c>
      <c r="C758" s="43" t="s">
        <v>33</v>
      </c>
      <c r="D758" s="24"/>
      <c r="E758" s="551">
        <v>642.87</v>
      </c>
    </row>
    <row r="759" spans="1:5" hidden="1" x14ac:dyDescent="0.25">
      <c r="A759" s="312" t="s">
        <v>31</v>
      </c>
      <c r="B759" s="41" t="s">
        <v>266</v>
      </c>
      <c r="C759" s="42"/>
      <c r="D759" s="42"/>
      <c r="E759" s="552"/>
    </row>
    <row r="760" spans="1:5" hidden="1" x14ac:dyDescent="0.25">
      <c r="A760" s="309" t="s">
        <v>35</v>
      </c>
      <c r="B760" s="24" t="s">
        <v>26</v>
      </c>
      <c r="C760" s="40" t="s">
        <v>33</v>
      </c>
      <c r="D760" s="24"/>
      <c r="E760" s="550"/>
    </row>
    <row r="761" spans="1:5" hidden="1" x14ac:dyDescent="0.25">
      <c r="A761" s="309" t="s">
        <v>36</v>
      </c>
      <c r="B761" s="24" t="s">
        <v>28</v>
      </c>
      <c r="C761" s="4" t="s">
        <v>33</v>
      </c>
      <c r="D761" s="24"/>
      <c r="E761" s="550"/>
    </row>
    <row r="762" spans="1:5" hidden="1" x14ac:dyDescent="0.25">
      <c r="A762" s="309" t="s">
        <v>37</v>
      </c>
      <c r="B762" s="24" t="s">
        <v>30</v>
      </c>
      <c r="C762" s="43" t="s">
        <v>33</v>
      </c>
      <c r="D762" s="24"/>
      <c r="E762" s="551">
        <v>572.22</v>
      </c>
    </row>
    <row r="763" spans="1:5" hidden="1" x14ac:dyDescent="0.25">
      <c r="A763" s="313" t="s">
        <v>34</v>
      </c>
      <c r="B763" s="45" t="s">
        <v>103</v>
      </c>
      <c r="C763" s="46"/>
      <c r="D763" s="46"/>
      <c r="E763" s="553"/>
    </row>
    <row r="764" spans="1:5" hidden="1" x14ac:dyDescent="0.25">
      <c r="A764" s="314" t="s">
        <v>38</v>
      </c>
      <c r="B764" s="44" t="s">
        <v>26</v>
      </c>
      <c r="C764" s="40" t="s">
        <v>33</v>
      </c>
      <c r="D764" s="24"/>
      <c r="E764" s="550">
        <f>Lapas3!D635</f>
        <v>0</v>
      </c>
    </row>
    <row r="765" spans="1:5" hidden="1" x14ac:dyDescent="0.25">
      <c r="A765" s="314" t="s">
        <v>39</v>
      </c>
      <c r="B765" s="24" t="s">
        <v>28</v>
      </c>
      <c r="C765" s="4" t="s">
        <v>33</v>
      </c>
      <c r="D765" s="24"/>
      <c r="E765" s="544"/>
    </row>
    <row r="766" spans="1:5" hidden="1" x14ac:dyDescent="0.25">
      <c r="A766" s="21" t="s">
        <v>40</v>
      </c>
      <c r="B766" s="38" t="s">
        <v>30</v>
      </c>
      <c r="C766" s="43" t="s">
        <v>33</v>
      </c>
      <c r="D766" s="24"/>
      <c r="E766" s="551">
        <v>782.01</v>
      </c>
    </row>
    <row r="767" spans="1:5" hidden="1" x14ac:dyDescent="0.25">
      <c r="A767" s="315" t="s">
        <v>42</v>
      </c>
      <c r="B767" s="51" t="s">
        <v>43</v>
      </c>
      <c r="C767" s="52"/>
      <c r="D767" s="52"/>
      <c r="E767" s="554"/>
    </row>
    <row r="768" spans="1:5" hidden="1" x14ac:dyDescent="0.25">
      <c r="A768" s="242" t="s">
        <v>44</v>
      </c>
      <c r="B768" s="24" t="s">
        <v>104</v>
      </c>
      <c r="C768" s="24"/>
      <c r="D768" s="24"/>
      <c r="E768" s="555" t="s">
        <v>106</v>
      </c>
    </row>
    <row r="769" spans="1:5" hidden="1" x14ac:dyDescent="0.25">
      <c r="A769" s="242" t="s">
        <v>45</v>
      </c>
      <c r="B769" s="24" t="s">
        <v>105</v>
      </c>
      <c r="C769" s="11" t="s">
        <v>59</v>
      </c>
      <c r="D769" s="24"/>
      <c r="E769" s="544">
        <v>0</v>
      </c>
    </row>
    <row r="770" spans="1:5" ht="17.25" hidden="1" x14ac:dyDescent="0.3">
      <c r="A770" s="316" t="s">
        <v>46</v>
      </c>
      <c r="B770" s="136" t="s">
        <v>172</v>
      </c>
      <c r="C770" s="139" t="s">
        <v>59</v>
      </c>
      <c r="D770" s="140" t="s">
        <v>181</v>
      </c>
      <c r="E770" s="563">
        <f>E771+E772</f>
        <v>20.901834402178537</v>
      </c>
    </row>
    <row r="771" spans="1:5" ht="18.75" hidden="1" x14ac:dyDescent="0.35">
      <c r="A771" s="242" t="s">
        <v>48</v>
      </c>
      <c r="B771" s="24" t="s">
        <v>49</v>
      </c>
      <c r="C771" s="53" t="s">
        <v>59</v>
      </c>
      <c r="D771" s="122" t="s">
        <v>173</v>
      </c>
      <c r="E771" s="550">
        <f>E748</f>
        <v>4.57</v>
      </c>
    </row>
    <row r="772" spans="1:5" ht="33" hidden="1" x14ac:dyDescent="0.25">
      <c r="A772" s="310" t="s">
        <v>50</v>
      </c>
      <c r="B772" s="35" t="s">
        <v>51</v>
      </c>
      <c r="C772" s="27" t="s">
        <v>59</v>
      </c>
      <c r="D772" s="54" t="s">
        <v>20</v>
      </c>
      <c r="E772" s="557">
        <f>E749</f>
        <v>16.331834402178536</v>
      </c>
    </row>
    <row r="773" spans="1:5" hidden="1" x14ac:dyDescent="0.25">
      <c r="A773" s="242" t="s">
        <v>52</v>
      </c>
      <c r="B773" s="55" t="s">
        <v>53</v>
      </c>
      <c r="C773" s="33"/>
      <c r="D773" s="33"/>
      <c r="E773" s="548"/>
    </row>
    <row r="774" spans="1:5" hidden="1" x14ac:dyDescent="0.25">
      <c r="A774" s="242" t="s">
        <v>54</v>
      </c>
      <c r="B774" s="24" t="s">
        <v>55</v>
      </c>
      <c r="C774" s="11" t="s">
        <v>56</v>
      </c>
      <c r="D774" s="24"/>
      <c r="E774" s="544">
        <v>33.57</v>
      </c>
    </row>
    <row r="775" spans="1:5" hidden="1" x14ac:dyDescent="0.25">
      <c r="A775" s="242" t="s">
        <v>57</v>
      </c>
      <c r="B775" s="24" t="s">
        <v>58</v>
      </c>
      <c r="C775" s="11" t="s">
        <v>59</v>
      </c>
      <c r="D775" s="56" t="s">
        <v>47</v>
      </c>
      <c r="E775" s="544"/>
    </row>
    <row r="776" spans="1:5" hidden="1" x14ac:dyDescent="0.25">
      <c r="A776" s="307" t="s">
        <v>60</v>
      </c>
      <c r="B776" s="866" t="s">
        <v>61</v>
      </c>
      <c r="C776" s="867"/>
      <c r="D776" s="867"/>
      <c r="E776" s="868"/>
    </row>
    <row r="777" spans="1:5" ht="17.25" hidden="1" x14ac:dyDescent="0.3">
      <c r="A777" s="12" t="s">
        <v>62</v>
      </c>
      <c r="B777" s="16" t="s">
        <v>182</v>
      </c>
      <c r="C777" s="9" t="s">
        <v>59</v>
      </c>
      <c r="D777" s="140" t="s">
        <v>180</v>
      </c>
      <c r="E777" s="546">
        <f>E778+E779</f>
        <v>6.8047149221216117</v>
      </c>
    </row>
    <row r="778" spans="1:5" ht="18.75" hidden="1" x14ac:dyDescent="0.35">
      <c r="A778" s="13" t="s">
        <v>63</v>
      </c>
      <c r="B778" s="14" t="s">
        <v>64</v>
      </c>
      <c r="C778" s="11" t="s">
        <v>59</v>
      </c>
      <c r="D778" s="122" t="s">
        <v>174</v>
      </c>
      <c r="E778" s="544">
        <v>2.39</v>
      </c>
    </row>
    <row r="779" spans="1:5" ht="18.75" hidden="1" x14ac:dyDescent="0.25">
      <c r="A779" s="13" t="s">
        <v>65</v>
      </c>
      <c r="B779" s="15" t="s">
        <v>66</v>
      </c>
      <c r="C779" s="20"/>
      <c r="D779" s="134" t="s">
        <v>175</v>
      </c>
      <c r="E779" s="550">
        <f>0.39+(7.24*E747/37.6)</f>
        <v>4.414714922121612</v>
      </c>
    </row>
    <row r="780" spans="1:5" hidden="1" x14ac:dyDescent="0.25">
      <c r="A780" s="12" t="s">
        <v>67</v>
      </c>
      <c r="B780" s="16" t="s">
        <v>68</v>
      </c>
      <c r="C780" s="9"/>
      <c r="D780" s="24"/>
      <c r="E780" s="544"/>
    </row>
    <row r="781" spans="1:5" hidden="1" x14ac:dyDescent="0.25">
      <c r="A781" s="12" t="s">
        <v>69</v>
      </c>
      <c r="B781" s="17" t="s">
        <v>55</v>
      </c>
      <c r="C781" s="10" t="s">
        <v>56</v>
      </c>
      <c r="D781" s="24"/>
      <c r="E781" s="544"/>
    </row>
    <row r="782" spans="1:5" ht="18.75" hidden="1" x14ac:dyDescent="0.35">
      <c r="A782" s="12" t="s">
        <v>70</v>
      </c>
      <c r="B782" s="17" t="s">
        <v>71</v>
      </c>
      <c r="C782" s="11" t="s">
        <v>59</v>
      </c>
      <c r="D782" s="122" t="s">
        <v>176</v>
      </c>
      <c r="E782" s="544"/>
    </row>
    <row r="783" spans="1:5" hidden="1" x14ac:dyDescent="0.25">
      <c r="A783" s="317" t="s">
        <v>72</v>
      </c>
      <c r="B783" s="869" t="s">
        <v>73</v>
      </c>
      <c r="C783" s="870"/>
      <c r="D783" s="870"/>
      <c r="E783" s="871"/>
    </row>
    <row r="784" spans="1:5" hidden="1" x14ac:dyDescent="0.25">
      <c r="A784" s="864" t="s">
        <v>79</v>
      </c>
      <c r="B784" s="18" t="s">
        <v>74</v>
      </c>
      <c r="C784" s="11" t="s">
        <v>59</v>
      </c>
      <c r="D784" s="124" t="s">
        <v>106</v>
      </c>
      <c r="E784" s="558">
        <v>0.31</v>
      </c>
    </row>
    <row r="785" spans="1:5" hidden="1" x14ac:dyDescent="0.25">
      <c r="A785" s="865"/>
      <c r="B785" s="19" t="s">
        <v>75</v>
      </c>
      <c r="C785" s="53" t="s">
        <v>76</v>
      </c>
      <c r="D785" s="124" t="s">
        <v>106</v>
      </c>
      <c r="E785" s="558">
        <v>2.3199999999999998</v>
      </c>
    </row>
    <row r="786" spans="1:5" ht="15.75" hidden="1" thickBot="1" x14ac:dyDescent="0.3">
      <c r="A786" s="865"/>
      <c r="B786" s="19" t="s">
        <v>77</v>
      </c>
      <c r="C786" s="123" t="s">
        <v>78</v>
      </c>
      <c r="D786" s="124" t="s">
        <v>106</v>
      </c>
      <c r="E786" s="558">
        <v>46.02</v>
      </c>
    </row>
    <row r="787" spans="1:5" hidden="1" x14ac:dyDescent="0.25">
      <c r="A787" s="317" t="s">
        <v>80</v>
      </c>
      <c r="B787" s="127" t="s">
        <v>81</v>
      </c>
      <c r="C787" s="11" t="s">
        <v>59</v>
      </c>
      <c r="D787" s="62"/>
      <c r="E787" s="558">
        <v>0.12</v>
      </c>
    </row>
    <row r="788" spans="1:5" hidden="1" x14ac:dyDescent="0.25">
      <c r="A788" s="317" t="s">
        <v>82</v>
      </c>
      <c r="B788" s="127" t="s">
        <v>83</v>
      </c>
      <c r="C788" s="11" t="s">
        <v>59</v>
      </c>
      <c r="D788" s="62"/>
      <c r="E788" s="558">
        <v>-0.27</v>
      </c>
    </row>
    <row r="789" spans="1:5" hidden="1" x14ac:dyDescent="0.25">
      <c r="A789" s="317" t="s">
        <v>84</v>
      </c>
      <c r="B789" s="127" t="s">
        <v>267</v>
      </c>
      <c r="C789" s="11" t="s">
        <v>59</v>
      </c>
      <c r="D789" s="62"/>
      <c r="E789" s="559">
        <f>20.9+6.8+0.31+0.12+-0.27</f>
        <v>27.86</v>
      </c>
    </row>
    <row r="790" spans="1:5" hidden="1" x14ac:dyDescent="0.25">
      <c r="A790" s="317" t="s">
        <v>85</v>
      </c>
      <c r="B790" s="127" t="s">
        <v>86</v>
      </c>
      <c r="C790" s="11" t="s">
        <v>59</v>
      </c>
      <c r="D790" s="62"/>
      <c r="E790" s="558">
        <v>0</v>
      </c>
    </row>
    <row r="791" spans="1:5" hidden="1" x14ac:dyDescent="0.25">
      <c r="A791" s="317" t="s">
        <v>87</v>
      </c>
      <c r="B791" s="127" t="s">
        <v>88</v>
      </c>
      <c r="C791" s="9" t="s">
        <v>59</v>
      </c>
      <c r="D791" s="129"/>
      <c r="E791" s="559">
        <f>E789</f>
        <v>27.86</v>
      </c>
    </row>
    <row r="792" spans="1:5" hidden="1" x14ac:dyDescent="0.25">
      <c r="A792" s="317" t="s">
        <v>89</v>
      </c>
      <c r="B792" s="127" t="s">
        <v>90</v>
      </c>
      <c r="C792" s="9" t="s">
        <v>59</v>
      </c>
      <c r="D792" s="129"/>
      <c r="E792" s="560">
        <f>E791*1.09</f>
        <v>30.3674</v>
      </c>
    </row>
    <row r="793" spans="1:5" hidden="1" x14ac:dyDescent="0.25">
      <c r="A793" s="317" t="s">
        <v>91</v>
      </c>
      <c r="B793" s="127" t="s">
        <v>92</v>
      </c>
      <c r="C793" s="9" t="s">
        <v>59</v>
      </c>
      <c r="D793" s="129"/>
      <c r="E793" s="560">
        <f>E700</f>
        <v>28.126129823830308</v>
      </c>
    </row>
    <row r="794" spans="1:5" hidden="1" x14ac:dyDescent="0.25">
      <c r="A794" s="317" t="s">
        <v>93</v>
      </c>
      <c r="B794" s="127" t="s">
        <v>94</v>
      </c>
      <c r="C794" s="126" t="s">
        <v>95</v>
      </c>
      <c r="D794" s="129"/>
      <c r="E794" s="560">
        <f>(E789/E793)*100-100</f>
        <v>-0.94620136327759496</v>
      </c>
    </row>
    <row r="795" spans="1:5" hidden="1" x14ac:dyDescent="0.25">
      <c r="A795" s="317" t="s">
        <v>96</v>
      </c>
      <c r="B795" s="128" t="s">
        <v>97</v>
      </c>
      <c r="C795" s="130" t="s">
        <v>98</v>
      </c>
      <c r="D795" s="131"/>
      <c r="E795" s="561">
        <v>5.68</v>
      </c>
    </row>
    <row r="796" spans="1:5" hidden="1" x14ac:dyDescent="0.25">
      <c r="A796" s="317" t="s">
        <v>99</v>
      </c>
      <c r="B796" s="128" t="s">
        <v>100</v>
      </c>
      <c r="C796" s="125" t="s">
        <v>98</v>
      </c>
      <c r="D796" s="62"/>
      <c r="E796" s="561">
        <v>5.26</v>
      </c>
    </row>
    <row r="797" spans="1:5" ht="15.75" hidden="1" thickBot="1" x14ac:dyDescent="0.3">
      <c r="A797" s="22" t="s">
        <v>101</v>
      </c>
      <c r="B797" s="23" t="s">
        <v>102</v>
      </c>
      <c r="C797" s="318" t="s">
        <v>98</v>
      </c>
      <c r="D797" s="319"/>
      <c r="E797" s="562">
        <v>0</v>
      </c>
    </row>
    <row r="798" spans="1:5" hidden="1" x14ac:dyDescent="0.25"/>
    <row r="799" spans="1:5" hidden="1" x14ac:dyDescent="0.25"/>
    <row r="800" spans="1:5" hidden="1" x14ac:dyDescent="0.25"/>
    <row r="801" spans="1:5" hidden="1" x14ac:dyDescent="0.25">
      <c r="B801" s="306"/>
    </row>
    <row r="802" spans="1:5" hidden="1" x14ac:dyDescent="0.25">
      <c r="A802" s="298"/>
      <c r="B802" s="298"/>
      <c r="C802" s="298"/>
      <c r="D802" s="298"/>
      <c r="E802" s="480"/>
    </row>
    <row r="803" spans="1:5" hidden="1" x14ac:dyDescent="0.25">
      <c r="A803" s="298"/>
      <c r="B803" s="298"/>
      <c r="C803" s="298"/>
      <c r="D803" s="298"/>
      <c r="E803" s="480"/>
    </row>
    <row r="804" spans="1:5" hidden="1" x14ac:dyDescent="0.25"/>
    <row r="805" spans="1:5" hidden="1" x14ac:dyDescent="0.25"/>
    <row r="806" spans="1:5" hidden="1" x14ac:dyDescent="0.25"/>
    <row r="807" spans="1:5" hidden="1" x14ac:dyDescent="0.25"/>
    <row r="808" spans="1:5" hidden="1" x14ac:dyDescent="0.25"/>
    <row r="809" spans="1:5" hidden="1" x14ac:dyDescent="0.25"/>
    <row r="810" spans="1:5" hidden="1" x14ac:dyDescent="0.25"/>
    <row r="811" spans="1:5" hidden="1" x14ac:dyDescent="0.25"/>
    <row r="812" spans="1:5" hidden="1" x14ac:dyDescent="0.25"/>
    <row r="813" spans="1:5" hidden="1" x14ac:dyDescent="0.25"/>
    <row r="814" spans="1:5" hidden="1" x14ac:dyDescent="0.25"/>
    <row r="815" spans="1:5" hidden="1" x14ac:dyDescent="0.25">
      <c r="B815" t="s">
        <v>189</v>
      </c>
      <c r="C815" t="s">
        <v>193</v>
      </c>
      <c r="D815" s="146" t="s">
        <v>190</v>
      </c>
    </row>
    <row r="816" spans="1:5" hidden="1" x14ac:dyDescent="0.25">
      <c r="C816" s="153" t="s">
        <v>194</v>
      </c>
    </row>
    <row r="817" spans="1:5" hidden="1" x14ac:dyDescent="0.25"/>
    <row r="818" spans="1:5" hidden="1" x14ac:dyDescent="0.25"/>
    <row r="819" spans="1:5" hidden="1" x14ac:dyDescent="0.25"/>
    <row r="820" spans="1:5" hidden="1" x14ac:dyDescent="0.25">
      <c r="A820" s="132" t="s">
        <v>0</v>
      </c>
      <c r="B820" s="132"/>
      <c r="C820" s="132"/>
      <c r="D820" s="132"/>
      <c r="E820" s="480" t="s">
        <v>107</v>
      </c>
    </row>
    <row r="821" spans="1:5" hidden="1" x14ac:dyDescent="0.25">
      <c r="A821" s="132" t="s">
        <v>1</v>
      </c>
      <c r="B821" s="132"/>
      <c r="C821" s="132"/>
      <c r="D821" s="132" t="s">
        <v>178</v>
      </c>
      <c r="E821" s="519"/>
    </row>
    <row r="822" spans="1:5" hidden="1" x14ac:dyDescent="0.25">
      <c r="A822" s="132" t="s">
        <v>2</v>
      </c>
      <c r="B822" s="132"/>
      <c r="C822" s="132"/>
      <c r="D822" s="132" t="s">
        <v>167</v>
      </c>
      <c r="E822" s="520"/>
    </row>
    <row r="823" spans="1:5" hidden="1" x14ac:dyDescent="0.25">
      <c r="A823" s="132" t="s">
        <v>3</v>
      </c>
      <c r="B823" s="132"/>
      <c r="C823" s="132"/>
      <c r="D823" s="132" t="s">
        <v>168</v>
      </c>
      <c r="E823" s="519"/>
    </row>
    <row r="824" spans="1:5" hidden="1" x14ac:dyDescent="0.25">
      <c r="A824" s="132" t="s">
        <v>4</v>
      </c>
      <c r="B824" s="132"/>
      <c r="C824" s="132"/>
      <c r="D824" s="132" t="s">
        <v>169</v>
      </c>
      <c r="E824" s="519"/>
    </row>
    <row r="825" spans="1:5" hidden="1" x14ac:dyDescent="0.25">
      <c r="A825" s="152" t="s">
        <v>192</v>
      </c>
      <c r="B825" s="132"/>
      <c r="C825" s="132"/>
      <c r="D825" s="132"/>
      <c r="E825" s="519"/>
    </row>
    <row r="826" spans="1:5" hidden="1" x14ac:dyDescent="0.25">
      <c r="A826" s="132" t="s">
        <v>5</v>
      </c>
      <c r="B826" s="132"/>
      <c r="C826" s="132"/>
      <c r="D826" s="132" t="s">
        <v>170</v>
      </c>
      <c r="E826" s="519"/>
    </row>
    <row r="827" spans="1:5" hidden="1" x14ac:dyDescent="0.25">
      <c r="A827" s="1"/>
      <c r="B827" s="1"/>
      <c r="C827" s="1"/>
      <c r="D827" s="1"/>
      <c r="E827" s="463"/>
    </row>
    <row r="828" spans="1:5" ht="15.75" hidden="1" x14ac:dyDescent="0.25">
      <c r="A828" s="141"/>
      <c r="B828" s="141" t="s">
        <v>277</v>
      </c>
      <c r="C828" s="2"/>
      <c r="D828" s="2"/>
    </row>
    <row r="829" spans="1:5" ht="15.75" hidden="1" x14ac:dyDescent="0.25">
      <c r="A829" s="141"/>
      <c r="B829" s="141"/>
      <c r="C829" s="150">
        <v>41754</v>
      </c>
      <c r="D829" s="2"/>
    </row>
    <row r="830" spans="1:5" ht="15.75" hidden="1" x14ac:dyDescent="0.25">
      <c r="A830" s="141"/>
      <c r="B830" s="141"/>
      <c r="C830" s="151" t="s">
        <v>191</v>
      </c>
      <c r="D830" s="2"/>
    </row>
    <row r="831" spans="1:5" hidden="1" x14ac:dyDescent="0.25">
      <c r="A831" s="2" t="s">
        <v>6</v>
      </c>
      <c r="B831" s="2"/>
      <c r="C831" s="2"/>
      <c r="D831" s="2"/>
      <c r="E831" s="522"/>
    </row>
    <row r="832" spans="1:5" hidden="1" x14ac:dyDescent="0.25">
      <c r="A832" s="1" t="s">
        <v>260</v>
      </c>
      <c r="B832" s="1"/>
      <c r="C832" s="1"/>
      <c r="D832" s="1"/>
      <c r="E832" s="463"/>
    </row>
    <row r="833" spans="1:6" hidden="1" x14ac:dyDescent="0.25">
      <c r="A833" s="1" t="s">
        <v>7</v>
      </c>
      <c r="B833" s="1"/>
      <c r="C833" s="1"/>
      <c r="D833" s="1"/>
      <c r="E833" s="463"/>
    </row>
    <row r="834" spans="1:6" hidden="1" x14ac:dyDescent="0.25">
      <c r="A834" s="326" t="s">
        <v>281</v>
      </c>
      <c r="B834" s="326"/>
      <c r="C834" s="326"/>
      <c r="D834" s="326"/>
      <c r="E834" s="564"/>
    </row>
    <row r="835" spans="1:6" hidden="1" x14ac:dyDescent="0.25">
      <c r="A835" s="238" t="s">
        <v>8</v>
      </c>
      <c r="B835" s="239" t="s">
        <v>9</v>
      </c>
      <c r="C835" s="239" t="s">
        <v>10</v>
      </c>
      <c r="D835" s="239" t="s">
        <v>11</v>
      </c>
      <c r="E835" s="543" t="s">
        <v>12</v>
      </c>
    </row>
    <row r="836" spans="1:6" hidden="1" x14ac:dyDescent="0.25">
      <c r="A836" s="242">
        <v>1</v>
      </c>
      <c r="B836" s="24">
        <v>2</v>
      </c>
      <c r="C836" s="24">
        <v>3</v>
      </c>
      <c r="D836" s="24">
        <v>4</v>
      </c>
      <c r="E836" s="544">
        <v>5</v>
      </c>
    </row>
    <row r="837" spans="1:6" hidden="1" x14ac:dyDescent="0.25">
      <c r="A837" s="307" t="s">
        <v>13</v>
      </c>
      <c r="B837" s="26" t="s">
        <v>14</v>
      </c>
      <c r="C837" s="26"/>
      <c r="D837" s="26"/>
      <c r="E837" s="545"/>
    </row>
    <row r="838" spans="1:6" ht="17.25" hidden="1" x14ac:dyDescent="0.3">
      <c r="A838" s="307" t="s">
        <v>15</v>
      </c>
      <c r="B838" s="133" t="s">
        <v>183</v>
      </c>
      <c r="C838" s="9" t="s">
        <v>59</v>
      </c>
      <c r="D838" s="308" t="s">
        <v>179</v>
      </c>
      <c r="E838" s="546">
        <f>E839+E840</f>
        <v>20.963812981712756</v>
      </c>
    </row>
    <row r="839" spans="1:6" ht="18.75" hidden="1" x14ac:dyDescent="0.35">
      <c r="A839" s="309" t="s">
        <v>16</v>
      </c>
      <c r="B839" s="24" t="s">
        <v>18</v>
      </c>
      <c r="C839" s="11" t="s">
        <v>59</v>
      </c>
      <c r="D839" s="122" t="s">
        <v>171</v>
      </c>
      <c r="E839" s="527">
        <v>4.57</v>
      </c>
    </row>
    <row r="840" spans="1:6" ht="33" hidden="1" x14ac:dyDescent="0.25">
      <c r="A840" s="310" t="s">
        <v>17</v>
      </c>
      <c r="B840" s="149" t="s">
        <v>19</v>
      </c>
      <c r="C840" s="27" t="s">
        <v>59</v>
      </c>
      <c r="D840" s="28" t="s">
        <v>278</v>
      </c>
      <c r="E840" s="547">
        <f>0.29+((4325*E845+226*E853+106.1*E849+509*E857)/(44.84*1000))/10</f>
        <v>16.393812981712756</v>
      </c>
    </row>
    <row r="841" spans="1:6" hidden="1" x14ac:dyDescent="0.25">
      <c r="A841" s="309" t="s">
        <v>21</v>
      </c>
      <c r="B841" s="30" t="s">
        <v>22</v>
      </c>
      <c r="C841" s="31"/>
      <c r="D841" s="33"/>
      <c r="E841" s="548"/>
    </row>
    <row r="842" spans="1:6" hidden="1" x14ac:dyDescent="0.25">
      <c r="A842" s="311" t="s">
        <v>23</v>
      </c>
      <c r="B842" s="48" t="s">
        <v>24</v>
      </c>
      <c r="C842" s="49"/>
      <c r="D842" s="49"/>
      <c r="E842" s="549"/>
    </row>
    <row r="843" spans="1:6" hidden="1" x14ac:dyDescent="0.25">
      <c r="A843" s="309" t="s">
        <v>25</v>
      </c>
      <c r="B843" s="24" t="s">
        <v>26</v>
      </c>
      <c r="C843" s="32" t="s">
        <v>41</v>
      </c>
      <c r="D843" s="24"/>
      <c r="E843" s="550">
        <v>1217.45</v>
      </c>
    </row>
    <row r="844" spans="1:6" hidden="1" x14ac:dyDescent="0.25">
      <c r="A844" s="309" t="s">
        <v>27</v>
      </c>
      <c r="B844" s="24" t="s">
        <v>28</v>
      </c>
      <c r="C844" s="5" t="s">
        <v>41</v>
      </c>
      <c r="D844" s="24"/>
      <c r="E844" s="544">
        <v>313.23</v>
      </c>
    </row>
    <row r="845" spans="1:6" hidden="1" x14ac:dyDescent="0.25">
      <c r="A845" s="309" t="s">
        <v>29</v>
      </c>
      <c r="B845" s="38" t="s">
        <v>30</v>
      </c>
      <c r="C845" s="39" t="s">
        <v>41</v>
      </c>
      <c r="D845" s="24"/>
      <c r="E845" s="551">
        <f>E843+E844</f>
        <v>1530.68</v>
      </c>
      <c r="F845" s="147">
        <f>E845*4325</f>
        <v>6620191</v>
      </c>
    </row>
    <row r="846" spans="1:6" hidden="1" x14ac:dyDescent="0.25">
      <c r="A846" s="312" t="s">
        <v>31</v>
      </c>
      <c r="B846" s="41" t="s">
        <v>265</v>
      </c>
      <c r="C846" s="42"/>
      <c r="D846" s="42"/>
      <c r="E846" s="552"/>
      <c r="F846" s="147">
        <f>E849*106.1</f>
        <v>67151.750999999989</v>
      </c>
    </row>
    <row r="847" spans="1:6" hidden="1" x14ac:dyDescent="0.25">
      <c r="A847" s="309" t="s">
        <v>35</v>
      </c>
      <c r="B847" s="24" t="s">
        <v>26</v>
      </c>
      <c r="C847" s="40" t="s">
        <v>33</v>
      </c>
      <c r="D847" s="24"/>
      <c r="E847" s="550"/>
      <c r="F847" s="147">
        <f>E853*226</f>
        <v>125149.75999999999</v>
      </c>
    </row>
    <row r="848" spans="1:6" hidden="1" x14ac:dyDescent="0.25">
      <c r="A848" s="309" t="s">
        <v>36</v>
      </c>
      <c r="B848" s="24" t="s">
        <v>28</v>
      </c>
      <c r="C848" s="4" t="s">
        <v>33</v>
      </c>
      <c r="D848" s="24"/>
      <c r="E848" s="550"/>
      <c r="F848" s="147">
        <f>E857*509</f>
        <v>408457.23000000004</v>
      </c>
    </row>
    <row r="849" spans="1:6" hidden="1" x14ac:dyDescent="0.25">
      <c r="A849" s="309" t="s">
        <v>37</v>
      </c>
      <c r="B849" s="24" t="s">
        <v>30</v>
      </c>
      <c r="C849" s="43" t="s">
        <v>33</v>
      </c>
      <c r="D849" s="24"/>
      <c r="E849" s="551">
        <v>632.91</v>
      </c>
      <c r="F849" s="147"/>
    </row>
    <row r="850" spans="1:6" hidden="1" x14ac:dyDescent="0.25">
      <c r="A850" s="312" t="s">
        <v>31</v>
      </c>
      <c r="B850" s="41" t="s">
        <v>266</v>
      </c>
      <c r="C850" s="42"/>
      <c r="D850" s="42"/>
      <c r="E850" s="552"/>
      <c r="F850" s="147"/>
    </row>
    <row r="851" spans="1:6" hidden="1" x14ac:dyDescent="0.25">
      <c r="A851" s="309" t="s">
        <v>35</v>
      </c>
      <c r="B851" s="24" t="s">
        <v>26</v>
      </c>
      <c r="C851" s="40" t="s">
        <v>33</v>
      </c>
      <c r="D851" s="24"/>
      <c r="E851" s="550"/>
      <c r="F851" s="147"/>
    </row>
    <row r="852" spans="1:6" hidden="1" x14ac:dyDescent="0.25">
      <c r="A852" s="309" t="s">
        <v>36</v>
      </c>
      <c r="B852" s="24" t="s">
        <v>28</v>
      </c>
      <c r="C852" s="4" t="s">
        <v>33</v>
      </c>
      <c r="D852" s="24"/>
      <c r="E852" s="550"/>
      <c r="F852" s="147"/>
    </row>
    <row r="853" spans="1:6" hidden="1" x14ac:dyDescent="0.25">
      <c r="A853" s="309" t="s">
        <v>37</v>
      </c>
      <c r="B853" s="24" t="s">
        <v>30</v>
      </c>
      <c r="C853" s="43" t="s">
        <v>33</v>
      </c>
      <c r="D853" s="24"/>
      <c r="E853" s="551">
        <v>553.76</v>
      </c>
      <c r="F853" s="147"/>
    </row>
    <row r="854" spans="1:6" hidden="1" x14ac:dyDescent="0.25">
      <c r="A854" s="313" t="s">
        <v>34</v>
      </c>
      <c r="B854" s="45" t="s">
        <v>103</v>
      </c>
      <c r="C854" s="46"/>
      <c r="D854" s="46"/>
      <c r="E854" s="553"/>
      <c r="F854" s="147"/>
    </row>
    <row r="855" spans="1:6" hidden="1" x14ac:dyDescent="0.25">
      <c r="A855" s="314" t="s">
        <v>38</v>
      </c>
      <c r="B855" s="44" t="s">
        <v>26</v>
      </c>
      <c r="C855" s="40" t="s">
        <v>33</v>
      </c>
      <c r="D855" s="24"/>
      <c r="E855" s="550">
        <f>Lapas3!D726</f>
        <v>0</v>
      </c>
      <c r="F855" s="147"/>
    </row>
    <row r="856" spans="1:6" hidden="1" x14ac:dyDescent="0.25">
      <c r="A856" s="314" t="s">
        <v>39</v>
      </c>
      <c r="B856" s="24" t="s">
        <v>28</v>
      </c>
      <c r="C856" s="4" t="s">
        <v>33</v>
      </c>
      <c r="D856" s="24"/>
      <c r="E856" s="544"/>
      <c r="F856" s="147"/>
    </row>
    <row r="857" spans="1:6" hidden="1" x14ac:dyDescent="0.25">
      <c r="A857" s="21" t="s">
        <v>40</v>
      </c>
      <c r="B857" s="38" t="s">
        <v>30</v>
      </c>
      <c r="C857" s="43" t="s">
        <v>33</v>
      </c>
      <c r="D857" s="24"/>
      <c r="E857" s="551">
        <v>802.47</v>
      </c>
    </row>
    <row r="858" spans="1:6" hidden="1" x14ac:dyDescent="0.25">
      <c r="A858" s="315" t="s">
        <v>42</v>
      </c>
      <c r="B858" s="51" t="s">
        <v>43</v>
      </c>
      <c r="C858" s="52"/>
      <c r="D858" s="52"/>
      <c r="E858" s="554"/>
    </row>
    <row r="859" spans="1:6" hidden="1" x14ac:dyDescent="0.25">
      <c r="A859" s="242" t="s">
        <v>44</v>
      </c>
      <c r="B859" s="24" t="s">
        <v>104</v>
      </c>
      <c r="C859" s="24"/>
      <c r="D859" s="24"/>
      <c r="E859" s="555" t="s">
        <v>106</v>
      </c>
    </row>
    <row r="860" spans="1:6" hidden="1" x14ac:dyDescent="0.25">
      <c r="A860" s="242" t="s">
        <v>45</v>
      </c>
      <c r="B860" s="24" t="s">
        <v>105</v>
      </c>
      <c r="C860" s="11" t="s">
        <v>59</v>
      </c>
      <c r="D860" s="24"/>
      <c r="E860" s="544">
        <v>0</v>
      </c>
    </row>
    <row r="861" spans="1:6" ht="17.25" hidden="1" x14ac:dyDescent="0.3">
      <c r="A861" s="316" t="s">
        <v>46</v>
      </c>
      <c r="B861" s="136" t="s">
        <v>172</v>
      </c>
      <c r="C861" s="139" t="s">
        <v>59</v>
      </c>
      <c r="D861" s="140" t="s">
        <v>181</v>
      </c>
      <c r="E861" s="563">
        <f>E862+E863</f>
        <v>20.963812981712756</v>
      </c>
    </row>
    <row r="862" spans="1:6" ht="18.75" hidden="1" x14ac:dyDescent="0.35">
      <c r="A862" s="242" t="s">
        <v>48</v>
      </c>
      <c r="B862" s="24" t="s">
        <v>49</v>
      </c>
      <c r="C862" s="53" t="s">
        <v>59</v>
      </c>
      <c r="D862" s="122" t="s">
        <v>173</v>
      </c>
      <c r="E862" s="550">
        <f>E839</f>
        <v>4.57</v>
      </c>
    </row>
    <row r="863" spans="1:6" ht="33" hidden="1" x14ac:dyDescent="0.25">
      <c r="A863" s="310" t="s">
        <v>50</v>
      </c>
      <c r="B863" s="35" t="s">
        <v>51</v>
      </c>
      <c r="C863" s="27" t="s">
        <v>59</v>
      </c>
      <c r="D863" s="54" t="s">
        <v>278</v>
      </c>
      <c r="E863" s="557">
        <f>E840</f>
        <v>16.393812981712756</v>
      </c>
    </row>
    <row r="864" spans="1:6" hidden="1" x14ac:dyDescent="0.25">
      <c r="A864" s="242" t="s">
        <v>52</v>
      </c>
      <c r="B864" s="55" t="s">
        <v>53</v>
      </c>
      <c r="C864" s="33"/>
      <c r="D864" s="33"/>
      <c r="E864" s="548"/>
    </row>
    <row r="865" spans="1:5" hidden="1" x14ac:dyDescent="0.25">
      <c r="A865" s="242" t="s">
        <v>54</v>
      </c>
      <c r="B865" s="24" t="s">
        <v>55</v>
      </c>
      <c r="C865" s="11" t="s">
        <v>56</v>
      </c>
      <c r="D865" s="24"/>
      <c r="E865" s="544">
        <v>33.340000000000003</v>
      </c>
    </row>
    <row r="866" spans="1:5" hidden="1" x14ac:dyDescent="0.25">
      <c r="A866" s="242" t="s">
        <v>57</v>
      </c>
      <c r="B866" s="24" t="s">
        <v>58</v>
      </c>
      <c r="C866" s="11" t="s">
        <v>59</v>
      </c>
      <c r="D866" s="56" t="s">
        <v>47</v>
      </c>
      <c r="E866" s="550">
        <f>E863</f>
        <v>16.393812981712756</v>
      </c>
    </row>
    <row r="867" spans="1:5" hidden="1" x14ac:dyDescent="0.25">
      <c r="A867" s="307" t="s">
        <v>60</v>
      </c>
      <c r="B867" s="866" t="s">
        <v>61</v>
      </c>
      <c r="C867" s="867"/>
      <c r="D867" s="867"/>
      <c r="E867" s="868"/>
    </row>
    <row r="868" spans="1:5" ht="17.25" hidden="1" x14ac:dyDescent="0.3">
      <c r="A868" s="12" t="s">
        <v>62</v>
      </c>
      <c r="B868" s="16" t="s">
        <v>182</v>
      </c>
      <c r="C868" s="9" t="s">
        <v>59</v>
      </c>
      <c r="D868" s="140" t="s">
        <v>180</v>
      </c>
      <c r="E868" s="546">
        <f>E869+E870</f>
        <v>6.8866490954149029</v>
      </c>
    </row>
    <row r="869" spans="1:5" ht="18.75" hidden="1" x14ac:dyDescent="0.35">
      <c r="A869" s="13" t="s">
        <v>63</v>
      </c>
      <c r="B869" s="14" t="s">
        <v>64</v>
      </c>
      <c r="C869" s="11" t="s">
        <v>59</v>
      </c>
      <c r="D869" s="122" t="s">
        <v>174</v>
      </c>
      <c r="E869" s="544">
        <v>2.44</v>
      </c>
    </row>
    <row r="870" spans="1:5" ht="18.75" hidden="1" x14ac:dyDescent="0.25">
      <c r="A870" s="13" t="s">
        <v>65</v>
      </c>
      <c r="B870" s="15" t="s">
        <v>66</v>
      </c>
      <c r="C870" s="20"/>
      <c r="D870" s="327" t="s">
        <v>279</v>
      </c>
      <c r="E870" s="550">
        <f>0.41+(7.24*E838/37.6)</f>
        <v>4.4466490954149034</v>
      </c>
    </row>
    <row r="871" spans="1:5" hidden="1" x14ac:dyDescent="0.25">
      <c r="A871" s="12" t="s">
        <v>67</v>
      </c>
      <c r="B871" s="16" t="s">
        <v>68</v>
      </c>
      <c r="C871" s="9"/>
      <c r="D871" s="24"/>
      <c r="E871" s="544"/>
    </row>
    <row r="872" spans="1:5" hidden="1" x14ac:dyDescent="0.25">
      <c r="A872" s="12" t="s">
        <v>69</v>
      </c>
      <c r="B872" s="17" t="s">
        <v>55</v>
      </c>
      <c r="C872" s="10" t="s">
        <v>56</v>
      </c>
      <c r="D872" s="24"/>
      <c r="E872" s="550">
        <v>16.100000000000001</v>
      </c>
    </row>
    <row r="873" spans="1:5" ht="18.75" hidden="1" x14ac:dyDescent="0.35">
      <c r="A873" s="12" t="s">
        <v>70</v>
      </c>
      <c r="B873" s="17" t="s">
        <v>71</v>
      </c>
      <c r="C873" s="11" t="s">
        <v>59</v>
      </c>
      <c r="D873" s="122" t="s">
        <v>176</v>
      </c>
      <c r="E873" s="550">
        <f>E870</f>
        <v>4.4466490954149034</v>
      </c>
    </row>
    <row r="874" spans="1:5" hidden="1" x14ac:dyDescent="0.25">
      <c r="A874" s="317" t="s">
        <v>72</v>
      </c>
      <c r="B874" s="869" t="s">
        <v>73</v>
      </c>
      <c r="C874" s="870"/>
      <c r="D874" s="870"/>
      <c r="E874" s="871"/>
    </row>
    <row r="875" spans="1:5" hidden="1" x14ac:dyDescent="0.25">
      <c r="A875" s="864" t="s">
        <v>79</v>
      </c>
      <c r="B875" s="18" t="s">
        <v>74</v>
      </c>
      <c r="C875" s="11" t="s">
        <v>59</v>
      </c>
      <c r="D875" s="124" t="s">
        <v>106</v>
      </c>
      <c r="E875" s="558">
        <v>0.31</v>
      </c>
    </row>
    <row r="876" spans="1:5" hidden="1" x14ac:dyDescent="0.25">
      <c r="A876" s="865"/>
      <c r="B876" s="19" t="s">
        <v>75</v>
      </c>
      <c r="C876" s="53" t="s">
        <v>76</v>
      </c>
      <c r="D876" s="124" t="s">
        <v>106</v>
      </c>
      <c r="E876" s="558">
        <v>2.34</v>
      </c>
    </row>
    <row r="877" spans="1:5" ht="15.75" hidden="1" thickBot="1" x14ac:dyDescent="0.3">
      <c r="A877" s="865"/>
      <c r="B877" s="19" t="s">
        <v>77</v>
      </c>
      <c r="C877" s="123" t="s">
        <v>78</v>
      </c>
      <c r="D877" s="124" t="s">
        <v>106</v>
      </c>
      <c r="E877" s="558">
        <v>46.34</v>
      </c>
    </row>
    <row r="878" spans="1:5" hidden="1" x14ac:dyDescent="0.25">
      <c r="A878" s="317" t="s">
        <v>80</v>
      </c>
      <c r="B878" s="127" t="s">
        <v>81</v>
      </c>
      <c r="C878" s="11" t="s">
        <v>59</v>
      </c>
      <c r="D878" s="62"/>
      <c r="E878" s="558">
        <v>-7.0000000000000007E-2</v>
      </c>
    </row>
    <row r="879" spans="1:5" hidden="1" x14ac:dyDescent="0.25">
      <c r="A879" s="317" t="s">
        <v>82</v>
      </c>
      <c r="B879" s="127" t="s">
        <v>83</v>
      </c>
      <c r="C879" s="11" t="s">
        <v>59</v>
      </c>
      <c r="D879" s="62"/>
      <c r="E879" s="558">
        <v>-0.14000000000000001</v>
      </c>
    </row>
    <row r="880" spans="1:5" hidden="1" x14ac:dyDescent="0.25">
      <c r="A880" s="317" t="s">
        <v>84</v>
      </c>
      <c r="B880" s="127" t="s">
        <v>267</v>
      </c>
      <c r="C880" s="11" t="s">
        <v>59</v>
      </c>
      <c r="D880" s="62"/>
      <c r="E880" s="559">
        <f>E861+E868+E875+E878+E879</f>
        <v>27.950462077127657</v>
      </c>
    </row>
    <row r="881" spans="1:5" hidden="1" x14ac:dyDescent="0.25">
      <c r="A881" s="317" t="s">
        <v>85</v>
      </c>
      <c r="B881" s="127" t="s">
        <v>86</v>
      </c>
      <c r="C881" s="11" t="s">
        <v>59</v>
      </c>
      <c r="D881" s="62"/>
      <c r="E881" s="558">
        <v>0</v>
      </c>
    </row>
    <row r="882" spans="1:5" hidden="1" x14ac:dyDescent="0.25">
      <c r="A882" s="317" t="s">
        <v>87</v>
      </c>
      <c r="B882" s="127" t="s">
        <v>88</v>
      </c>
      <c r="C882" s="9" t="s">
        <v>59</v>
      </c>
      <c r="D882" s="129"/>
      <c r="E882" s="559">
        <f>E880</f>
        <v>27.950462077127657</v>
      </c>
    </row>
    <row r="883" spans="1:5" hidden="1" x14ac:dyDescent="0.25">
      <c r="A883" s="317" t="s">
        <v>89</v>
      </c>
      <c r="B883" s="127" t="s">
        <v>90</v>
      </c>
      <c r="C883" s="9" t="s">
        <v>59</v>
      </c>
      <c r="D883" s="129"/>
      <c r="E883" s="560">
        <f>E882*1.09</f>
        <v>30.466003664069149</v>
      </c>
    </row>
    <row r="884" spans="1:5" hidden="1" x14ac:dyDescent="0.25">
      <c r="A884" s="317" t="s">
        <v>91</v>
      </c>
      <c r="B884" s="127" t="s">
        <v>92</v>
      </c>
      <c r="C884" s="9" t="s">
        <v>59</v>
      </c>
      <c r="D884" s="129"/>
      <c r="E884" s="560">
        <f>E791</f>
        <v>27.86</v>
      </c>
    </row>
    <row r="885" spans="1:5" hidden="1" x14ac:dyDescent="0.25">
      <c r="A885" s="317" t="s">
        <v>93</v>
      </c>
      <c r="B885" s="127" t="s">
        <v>94</v>
      </c>
      <c r="C885" s="126" t="s">
        <v>95</v>
      </c>
      <c r="D885" s="129"/>
      <c r="E885" s="560">
        <f>(E880/E884)*100-100</f>
        <v>0.32470235867788233</v>
      </c>
    </row>
    <row r="886" spans="1:5" hidden="1" x14ac:dyDescent="0.25">
      <c r="A886" s="317" t="s">
        <v>96</v>
      </c>
      <c r="B886" s="128" t="s">
        <v>97</v>
      </c>
      <c r="C886" s="130" t="s">
        <v>98</v>
      </c>
      <c r="D886" s="131"/>
      <c r="E886" s="561">
        <v>4.7300000000000004</v>
      </c>
    </row>
    <row r="887" spans="1:5" hidden="1" x14ac:dyDescent="0.25">
      <c r="A887" s="317" t="s">
        <v>99</v>
      </c>
      <c r="B887" s="128" t="s">
        <v>100</v>
      </c>
      <c r="C887" s="125" t="s">
        <v>98</v>
      </c>
      <c r="D887" s="62"/>
      <c r="E887" s="561">
        <v>4.1399999999999997</v>
      </c>
    </row>
    <row r="888" spans="1:5" ht="15.75" hidden="1" thickBot="1" x14ac:dyDescent="0.3">
      <c r="A888" s="22" t="s">
        <v>101</v>
      </c>
      <c r="B888" s="23" t="s">
        <v>102</v>
      </c>
      <c r="C888" s="318" t="s">
        <v>98</v>
      </c>
      <c r="D888" s="319"/>
      <c r="E888" s="562">
        <v>0</v>
      </c>
    </row>
    <row r="889" spans="1:5" hidden="1" x14ac:dyDescent="0.25"/>
    <row r="890" spans="1:5" hidden="1" x14ac:dyDescent="0.25"/>
    <row r="891" spans="1:5" hidden="1" x14ac:dyDescent="0.25"/>
    <row r="892" spans="1:5" hidden="1" x14ac:dyDescent="0.25">
      <c r="B892" s="306"/>
    </row>
    <row r="893" spans="1:5" hidden="1" x14ac:dyDescent="0.25">
      <c r="A893" s="298"/>
      <c r="B893" s="298"/>
      <c r="C893" s="298"/>
      <c r="D893" s="298"/>
      <c r="E893" s="480"/>
    </row>
    <row r="894" spans="1:5" hidden="1" x14ac:dyDescent="0.25">
      <c r="A894" s="298"/>
      <c r="B894" s="298"/>
      <c r="C894" s="298"/>
      <c r="D894" s="298"/>
      <c r="E894" s="480"/>
    </row>
    <row r="895" spans="1:5" hidden="1" x14ac:dyDescent="0.25"/>
    <row r="896" spans="1:5" hidden="1" x14ac:dyDescent="0.25"/>
    <row r="897" spans="1:5" hidden="1" x14ac:dyDescent="0.25"/>
    <row r="898" spans="1:5" hidden="1" x14ac:dyDescent="0.25"/>
    <row r="899" spans="1:5" hidden="1" x14ac:dyDescent="0.25"/>
    <row r="900" spans="1:5" hidden="1" x14ac:dyDescent="0.25"/>
    <row r="901" spans="1:5" hidden="1" x14ac:dyDescent="0.25"/>
    <row r="902" spans="1:5" hidden="1" x14ac:dyDescent="0.25"/>
    <row r="903" spans="1:5" hidden="1" x14ac:dyDescent="0.25"/>
    <row r="904" spans="1:5" hidden="1" x14ac:dyDescent="0.25"/>
    <row r="905" spans="1:5" hidden="1" x14ac:dyDescent="0.25"/>
    <row r="906" spans="1:5" hidden="1" x14ac:dyDescent="0.25">
      <c r="B906" t="s">
        <v>189</v>
      </c>
      <c r="C906" t="s">
        <v>193</v>
      </c>
      <c r="D906" s="146" t="s">
        <v>190</v>
      </c>
    </row>
    <row r="907" spans="1:5" hidden="1" x14ac:dyDescent="0.25">
      <c r="C907" s="153" t="s">
        <v>194</v>
      </c>
    </row>
    <row r="908" spans="1:5" hidden="1" x14ac:dyDescent="0.25"/>
    <row r="909" spans="1:5" hidden="1" x14ac:dyDescent="0.25"/>
    <row r="910" spans="1:5" hidden="1" x14ac:dyDescent="0.25"/>
    <row r="911" spans="1:5" hidden="1" x14ac:dyDescent="0.25">
      <c r="A911" s="132" t="s">
        <v>0</v>
      </c>
      <c r="B911" s="132"/>
      <c r="C911" s="132"/>
      <c r="D911" s="132"/>
      <c r="E911" s="480" t="s">
        <v>107</v>
      </c>
    </row>
    <row r="912" spans="1:5" hidden="1" x14ac:dyDescent="0.25">
      <c r="A912" s="132" t="s">
        <v>1</v>
      </c>
      <c r="B912" s="132"/>
      <c r="C912" s="132"/>
      <c r="D912" s="132" t="s">
        <v>178</v>
      </c>
      <c r="E912" s="519"/>
    </row>
    <row r="913" spans="1:5" hidden="1" x14ac:dyDescent="0.25">
      <c r="A913" s="132" t="s">
        <v>2</v>
      </c>
      <c r="B913" s="132"/>
      <c r="C913" s="132"/>
      <c r="D913" s="132" t="s">
        <v>167</v>
      </c>
      <c r="E913" s="520"/>
    </row>
    <row r="914" spans="1:5" hidden="1" x14ac:dyDescent="0.25">
      <c r="A914" s="132" t="s">
        <v>3</v>
      </c>
      <c r="B914" s="132"/>
      <c r="C914" s="132"/>
      <c r="D914" s="132" t="s">
        <v>168</v>
      </c>
      <c r="E914" s="519"/>
    </row>
    <row r="915" spans="1:5" hidden="1" x14ac:dyDescent="0.25">
      <c r="A915" s="132" t="s">
        <v>4</v>
      </c>
      <c r="B915" s="132"/>
      <c r="C915" s="132"/>
      <c r="D915" s="132" t="s">
        <v>169</v>
      </c>
      <c r="E915" s="519"/>
    </row>
    <row r="916" spans="1:5" hidden="1" x14ac:dyDescent="0.25">
      <c r="A916" s="152" t="s">
        <v>192</v>
      </c>
      <c r="B916" s="132"/>
      <c r="C916" s="132"/>
      <c r="D916" s="132"/>
      <c r="E916" s="519"/>
    </row>
    <row r="917" spans="1:5" hidden="1" x14ac:dyDescent="0.25">
      <c r="A917" s="132" t="s">
        <v>5</v>
      </c>
      <c r="B917" s="132"/>
      <c r="C917" s="132"/>
      <c r="D917" s="132" t="s">
        <v>170</v>
      </c>
      <c r="E917" s="519"/>
    </row>
    <row r="918" spans="1:5" hidden="1" x14ac:dyDescent="0.25">
      <c r="A918" s="1"/>
      <c r="B918" s="1"/>
      <c r="C918" s="1"/>
      <c r="D918" s="1"/>
      <c r="E918" s="463"/>
    </row>
    <row r="919" spans="1:5" ht="15.75" hidden="1" x14ac:dyDescent="0.25">
      <c r="A919" s="141"/>
      <c r="B919" s="141" t="s">
        <v>282</v>
      </c>
      <c r="C919" s="2"/>
      <c r="D919" s="2"/>
    </row>
    <row r="920" spans="1:5" ht="15.75" hidden="1" x14ac:dyDescent="0.25">
      <c r="A920" s="141"/>
      <c r="B920" s="141"/>
      <c r="C920" s="150">
        <v>41779</v>
      </c>
      <c r="D920" s="2"/>
    </row>
    <row r="921" spans="1:5" ht="15.75" hidden="1" x14ac:dyDescent="0.25">
      <c r="A921" s="141"/>
      <c r="B921" s="141"/>
      <c r="C921" s="151" t="s">
        <v>191</v>
      </c>
      <c r="D921" s="2"/>
    </row>
    <row r="922" spans="1:5" hidden="1" x14ac:dyDescent="0.25">
      <c r="A922" s="2" t="s">
        <v>6</v>
      </c>
      <c r="B922" s="2"/>
      <c r="C922" s="2"/>
      <c r="D922" s="2"/>
      <c r="E922" s="522"/>
    </row>
    <row r="923" spans="1:5" hidden="1" x14ac:dyDescent="0.25">
      <c r="A923" s="1" t="s">
        <v>260</v>
      </c>
      <c r="B923" s="1"/>
      <c r="C923" s="1"/>
      <c r="D923" s="1"/>
      <c r="E923" s="463"/>
    </row>
    <row r="924" spans="1:5" hidden="1" x14ac:dyDescent="0.25">
      <c r="A924" s="1" t="s">
        <v>7</v>
      </c>
      <c r="B924" s="1"/>
      <c r="C924" s="1"/>
      <c r="D924" s="1"/>
      <c r="E924" s="463"/>
    </row>
    <row r="925" spans="1:5" hidden="1" x14ac:dyDescent="0.25">
      <c r="A925" s="326" t="s">
        <v>281</v>
      </c>
      <c r="B925" s="326"/>
      <c r="C925" s="326"/>
      <c r="D925" s="326"/>
      <c r="E925" s="564"/>
    </row>
    <row r="926" spans="1:5" hidden="1" x14ac:dyDescent="0.25">
      <c r="A926" s="238" t="s">
        <v>8</v>
      </c>
      <c r="B926" s="239" t="s">
        <v>9</v>
      </c>
      <c r="C926" s="239" t="s">
        <v>10</v>
      </c>
      <c r="D926" s="239" t="s">
        <v>11</v>
      </c>
      <c r="E926" s="543" t="s">
        <v>12</v>
      </c>
    </row>
    <row r="927" spans="1:5" hidden="1" x14ac:dyDescent="0.25">
      <c r="A927" s="242">
        <v>1</v>
      </c>
      <c r="B927" s="24">
        <v>2</v>
      </c>
      <c r="C927" s="24">
        <v>3</v>
      </c>
      <c r="D927" s="24">
        <v>4</v>
      </c>
      <c r="E927" s="544">
        <v>5</v>
      </c>
    </row>
    <row r="928" spans="1:5" hidden="1" x14ac:dyDescent="0.25">
      <c r="A928" s="307" t="s">
        <v>13</v>
      </c>
      <c r="B928" s="26" t="s">
        <v>14</v>
      </c>
      <c r="C928" s="26"/>
      <c r="D928" s="26"/>
      <c r="E928" s="545"/>
    </row>
    <row r="929" spans="1:6" ht="17.25" hidden="1" x14ac:dyDescent="0.3">
      <c r="A929" s="307" t="s">
        <v>15</v>
      </c>
      <c r="B929" s="133" t="s">
        <v>183</v>
      </c>
      <c r="C929" s="9" t="s">
        <v>59</v>
      </c>
      <c r="D929" s="308" t="s">
        <v>179</v>
      </c>
      <c r="E929" s="546">
        <f>E930+E931</f>
        <v>20.813790211864408</v>
      </c>
    </row>
    <row r="930" spans="1:6" ht="18.75" hidden="1" x14ac:dyDescent="0.35">
      <c r="A930" s="309" t="s">
        <v>16</v>
      </c>
      <c r="B930" s="24" t="s">
        <v>18</v>
      </c>
      <c r="C930" s="11" t="s">
        <v>59</v>
      </c>
      <c r="D930" s="122" t="s">
        <v>171</v>
      </c>
      <c r="E930" s="527">
        <v>4.57</v>
      </c>
    </row>
    <row r="931" spans="1:6" ht="33" hidden="1" x14ac:dyDescent="0.25">
      <c r="A931" s="310" t="s">
        <v>17</v>
      </c>
      <c r="B931" s="149" t="s">
        <v>19</v>
      </c>
      <c r="C931" s="27" t="s">
        <v>59</v>
      </c>
      <c r="D931" s="28" t="s">
        <v>278</v>
      </c>
      <c r="E931" s="547">
        <f>0.29+((4325*E936+226*E944+106.1*E940+509*E948)/(44.84*1000))/10</f>
        <v>16.243790211864408</v>
      </c>
    </row>
    <row r="932" spans="1:6" hidden="1" x14ac:dyDescent="0.25">
      <c r="A932" s="309" t="s">
        <v>21</v>
      </c>
      <c r="B932" s="30" t="s">
        <v>22</v>
      </c>
      <c r="C932" s="31"/>
      <c r="D932" s="33"/>
      <c r="E932" s="548"/>
    </row>
    <row r="933" spans="1:6" hidden="1" x14ac:dyDescent="0.25">
      <c r="A933" s="311" t="s">
        <v>23</v>
      </c>
      <c r="B933" s="48" t="s">
        <v>24</v>
      </c>
      <c r="C933" s="49"/>
      <c r="D933" s="49"/>
      <c r="E933" s="549"/>
    </row>
    <row r="934" spans="1:6" hidden="1" x14ac:dyDescent="0.25">
      <c r="A934" s="309" t="s">
        <v>25</v>
      </c>
      <c r="B934" s="24" t="s">
        <v>26</v>
      </c>
      <c r="C934" s="32" t="s">
        <v>41</v>
      </c>
      <c r="D934" s="24"/>
      <c r="E934" s="550">
        <v>1215.04</v>
      </c>
    </row>
    <row r="935" spans="1:6" hidden="1" x14ac:dyDescent="0.25">
      <c r="A935" s="309" t="s">
        <v>27</v>
      </c>
      <c r="B935" s="24" t="s">
        <v>28</v>
      </c>
      <c r="C935" s="5" t="s">
        <v>41</v>
      </c>
      <c r="D935" s="24"/>
      <c r="E935" s="544">
        <v>313.23</v>
      </c>
    </row>
    <row r="936" spans="1:6" hidden="1" x14ac:dyDescent="0.25">
      <c r="A936" s="309" t="s">
        <v>29</v>
      </c>
      <c r="B936" s="38" t="s">
        <v>30</v>
      </c>
      <c r="C936" s="39" t="s">
        <v>41</v>
      </c>
      <c r="D936" s="24"/>
      <c r="E936" s="551">
        <f>E934+E935</f>
        <v>1528.27</v>
      </c>
      <c r="F936" s="147">
        <f>E936*4325</f>
        <v>6609767.75</v>
      </c>
    </row>
    <row r="937" spans="1:6" hidden="1" x14ac:dyDescent="0.25">
      <c r="A937" s="312" t="s">
        <v>31</v>
      </c>
      <c r="B937" s="41" t="s">
        <v>265</v>
      </c>
      <c r="C937" s="42"/>
      <c r="D937" s="42"/>
      <c r="E937" s="552"/>
      <c r="F937" s="147">
        <f>E940*106.1</f>
        <v>61634.550999999992</v>
      </c>
    </row>
    <row r="938" spans="1:6" hidden="1" x14ac:dyDescent="0.25">
      <c r="A938" s="309" t="s">
        <v>35</v>
      </c>
      <c r="B938" s="24" t="s">
        <v>26</v>
      </c>
      <c r="C938" s="40" t="s">
        <v>33</v>
      </c>
      <c r="D938" s="24"/>
      <c r="E938" s="550"/>
      <c r="F938" s="147">
        <f>E944*226</f>
        <v>83674.240000000005</v>
      </c>
    </row>
    <row r="939" spans="1:6" hidden="1" x14ac:dyDescent="0.25">
      <c r="A939" s="309" t="s">
        <v>36</v>
      </c>
      <c r="B939" s="24" t="s">
        <v>28</v>
      </c>
      <c r="C939" s="4" t="s">
        <v>33</v>
      </c>
      <c r="D939" s="24"/>
      <c r="E939" s="550"/>
      <c r="F939" s="147">
        <f>E948*509</f>
        <v>398602.99</v>
      </c>
    </row>
    <row r="940" spans="1:6" hidden="1" x14ac:dyDescent="0.25">
      <c r="A940" s="309" t="s">
        <v>37</v>
      </c>
      <c r="B940" s="24" t="s">
        <v>30</v>
      </c>
      <c r="C940" s="43" t="s">
        <v>33</v>
      </c>
      <c r="D940" s="24"/>
      <c r="E940" s="551">
        <v>580.91</v>
      </c>
      <c r="F940" s="147"/>
    </row>
    <row r="941" spans="1:6" hidden="1" x14ac:dyDescent="0.25">
      <c r="A941" s="312" t="s">
        <v>31</v>
      </c>
      <c r="B941" s="41" t="s">
        <v>266</v>
      </c>
      <c r="C941" s="42"/>
      <c r="D941" s="42"/>
      <c r="E941" s="552"/>
      <c r="F941" s="147"/>
    </row>
    <row r="942" spans="1:6" hidden="1" x14ac:dyDescent="0.25">
      <c r="A942" s="309" t="s">
        <v>35</v>
      </c>
      <c r="B942" s="24" t="s">
        <v>26</v>
      </c>
      <c r="C942" s="40" t="s">
        <v>33</v>
      </c>
      <c r="D942" s="24"/>
      <c r="E942" s="550"/>
      <c r="F942" s="147"/>
    </row>
    <row r="943" spans="1:6" hidden="1" x14ac:dyDescent="0.25">
      <c r="A943" s="309" t="s">
        <v>36</v>
      </c>
      <c r="B943" s="24" t="s">
        <v>28</v>
      </c>
      <c r="C943" s="4" t="s">
        <v>33</v>
      </c>
      <c r="D943" s="24"/>
      <c r="E943" s="550"/>
      <c r="F943" s="147"/>
    </row>
    <row r="944" spans="1:6" hidden="1" x14ac:dyDescent="0.25">
      <c r="A944" s="309" t="s">
        <v>37</v>
      </c>
      <c r="B944" s="24" t="s">
        <v>30</v>
      </c>
      <c r="C944" s="43" t="s">
        <v>33</v>
      </c>
      <c r="D944" s="24"/>
      <c r="E944" s="551">
        <v>370.24</v>
      </c>
      <c r="F944" s="147"/>
    </row>
    <row r="945" spans="1:6" hidden="1" x14ac:dyDescent="0.25">
      <c r="A945" s="313" t="s">
        <v>34</v>
      </c>
      <c r="B945" s="45" t="s">
        <v>103</v>
      </c>
      <c r="C945" s="46"/>
      <c r="D945" s="46"/>
      <c r="E945" s="553"/>
      <c r="F945" s="147"/>
    </row>
    <row r="946" spans="1:6" hidden="1" x14ac:dyDescent="0.25">
      <c r="A946" s="314" t="s">
        <v>38</v>
      </c>
      <c r="B946" s="44" t="s">
        <v>26</v>
      </c>
      <c r="C946" s="40" t="s">
        <v>33</v>
      </c>
      <c r="D946" s="24"/>
      <c r="E946" s="550">
        <f>Lapas3!D817</f>
        <v>0</v>
      </c>
      <c r="F946" s="147"/>
    </row>
    <row r="947" spans="1:6" hidden="1" x14ac:dyDescent="0.25">
      <c r="A947" s="314" t="s">
        <v>39</v>
      </c>
      <c r="B947" s="24" t="s">
        <v>28</v>
      </c>
      <c r="C947" s="4" t="s">
        <v>33</v>
      </c>
      <c r="D947" s="24"/>
      <c r="E947" s="544"/>
      <c r="F947" s="147"/>
    </row>
    <row r="948" spans="1:6" hidden="1" x14ac:dyDescent="0.25">
      <c r="A948" s="21" t="s">
        <v>40</v>
      </c>
      <c r="B948" s="38" t="s">
        <v>30</v>
      </c>
      <c r="C948" s="43" t="s">
        <v>33</v>
      </c>
      <c r="D948" s="24"/>
      <c r="E948" s="551">
        <v>783.11</v>
      </c>
    </row>
    <row r="949" spans="1:6" hidden="1" x14ac:dyDescent="0.25">
      <c r="A949" s="315" t="s">
        <v>42</v>
      </c>
      <c r="B949" s="51" t="s">
        <v>43</v>
      </c>
      <c r="C949" s="52"/>
      <c r="D949" s="52"/>
      <c r="E949" s="554"/>
    </row>
    <row r="950" spans="1:6" hidden="1" x14ac:dyDescent="0.25">
      <c r="A950" s="242" t="s">
        <v>44</v>
      </c>
      <c r="B950" s="24" t="s">
        <v>104</v>
      </c>
      <c r="C950" s="24"/>
      <c r="D950" s="24"/>
      <c r="E950" s="555" t="s">
        <v>106</v>
      </c>
    </row>
    <row r="951" spans="1:6" hidden="1" x14ac:dyDescent="0.25">
      <c r="A951" s="242" t="s">
        <v>45</v>
      </c>
      <c r="B951" s="24" t="s">
        <v>105</v>
      </c>
      <c r="C951" s="11" t="s">
        <v>59</v>
      </c>
      <c r="D951" s="24"/>
      <c r="E951" s="544">
        <v>0</v>
      </c>
    </row>
    <row r="952" spans="1:6" ht="17.25" hidden="1" x14ac:dyDescent="0.3">
      <c r="A952" s="316" t="s">
        <v>46</v>
      </c>
      <c r="B952" s="136" t="s">
        <v>172</v>
      </c>
      <c r="C952" s="139" t="s">
        <v>59</v>
      </c>
      <c r="D952" s="140" t="s">
        <v>181</v>
      </c>
      <c r="E952" s="563">
        <f>E953+E954</f>
        <v>20.813790211864408</v>
      </c>
    </row>
    <row r="953" spans="1:6" ht="18.75" hidden="1" x14ac:dyDescent="0.35">
      <c r="A953" s="242" t="s">
        <v>48</v>
      </c>
      <c r="B953" s="24" t="s">
        <v>49</v>
      </c>
      <c r="C953" s="53" t="s">
        <v>59</v>
      </c>
      <c r="D953" s="122" t="s">
        <v>173</v>
      </c>
      <c r="E953" s="550">
        <f>E930</f>
        <v>4.57</v>
      </c>
    </row>
    <row r="954" spans="1:6" ht="33" hidden="1" x14ac:dyDescent="0.25">
      <c r="A954" s="310" t="s">
        <v>50</v>
      </c>
      <c r="B954" s="35" t="s">
        <v>51</v>
      </c>
      <c r="C954" s="27" t="s">
        <v>59</v>
      </c>
      <c r="D954" s="54" t="s">
        <v>278</v>
      </c>
      <c r="E954" s="557">
        <f>E931</f>
        <v>16.243790211864408</v>
      </c>
    </row>
    <row r="955" spans="1:6" hidden="1" x14ac:dyDescent="0.25">
      <c r="A955" s="242" t="s">
        <v>52</v>
      </c>
      <c r="B955" s="55" t="s">
        <v>53</v>
      </c>
      <c r="C955" s="33"/>
      <c r="D955" s="33"/>
      <c r="E955" s="548"/>
    </row>
    <row r="956" spans="1:6" hidden="1" x14ac:dyDescent="0.25">
      <c r="A956" s="242" t="s">
        <v>54</v>
      </c>
      <c r="B956" s="24" t="s">
        <v>55</v>
      </c>
      <c r="C956" s="11" t="s">
        <v>56</v>
      </c>
      <c r="D956" s="24"/>
      <c r="E956" s="544">
        <v>33.340000000000003</v>
      </c>
    </row>
    <row r="957" spans="1:6" hidden="1" x14ac:dyDescent="0.25">
      <c r="A957" s="242" t="s">
        <v>57</v>
      </c>
      <c r="B957" s="24" t="s">
        <v>58</v>
      </c>
      <c r="C957" s="11" t="s">
        <v>59</v>
      </c>
      <c r="D957" s="56" t="s">
        <v>47</v>
      </c>
      <c r="E957" s="550">
        <f>E954</f>
        <v>16.243790211864408</v>
      </c>
    </row>
    <row r="958" spans="1:6" hidden="1" x14ac:dyDescent="0.25">
      <c r="A958" s="307" t="s">
        <v>60</v>
      </c>
      <c r="B958" s="866" t="s">
        <v>61</v>
      </c>
      <c r="C958" s="867"/>
      <c r="D958" s="867"/>
      <c r="E958" s="868"/>
    </row>
    <row r="959" spans="1:6" ht="17.25" hidden="1" x14ac:dyDescent="0.3">
      <c r="A959" s="12" t="s">
        <v>62</v>
      </c>
      <c r="B959" s="16" t="s">
        <v>182</v>
      </c>
      <c r="C959" s="9" t="s">
        <v>59</v>
      </c>
      <c r="D959" s="140" t="s">
        <v>180</v>
      </c>
      <c r="E959" s="546">
        <f>E960+E961</f>
        <v>6.8577617322845299</v>
      </c>
    </row>
    <row r="960" spans="1:6" ht="18.75" hidden="1" x14ac:dyDescent="0.35">
      <c r="A960" s="13" t="s">
        <v>63</v>
      </c>
      <c r="B960" s="14" t="s">
        <v>64</v>
      </c>
      <c r="C960" s="11" t="s">
        <v>59</v>
      </c>
      <c r="D960" s="122" t="s">
        <v>174</v>
      </c>
      <c r="E960" s="544">
        <v>2.44</v>
      </c>
    </row>
    <row r="961" spans="1:5" ht="18.75" hidden="1" x14ac:dyDescent="0.25">
      <c r="A961" s="13" t="s">
        <v>65</v>
      </c>
      <c r="B961" s="15" t="s">
        <v>66</v>
      </c>
      <c r="C961" s="20"/>
      <c r="D961" s="327" t="s">
        <v>279</v>
      </c>
      <c r="E961" s="550">
        <f>0.41+(7.24*E929/37.6)</f>
        <v>4.4177617322845295</v>
      </c>
    </row>
    <row r="962" spans="1:5" hidden="1" x14ac:dyDescent="0.25">
      <c r="A962" s="12" t="s">
        <v>67</v>
      </c>
      <c r="B962" s="16" t="s">
        <v>68</v>
      </c>
      <c r="C962" s="9"/>
      <c r="D962" s="24"/>
      <c r="E962" s="544"/>
    </row>
    <row r="963" spans="1:5" hidden="1" x14ac:dyDescent="0.25">
      <c r="A963" s="12" t="s">
        <v>69</v>
      </c>
      <c r="B963" s="17" t="s">
        <v>55</v>
      </c>
      <c r="C963" s="10" t="s">
        <v>56</v>
      </c>
      <c r="D963" s="24"/>
      <c r="E963" s="550">
        <v>16.100000000000001</v>
      </c>
    </row>
    <row r="964" spans="1:5" ht="18.75" hidden="1" x14ac:dyDescent="0.35">
      <c r="A964" s="12" t="s">
        <v>70</v>
      </c>
      <c r="B964" s="17" t="s">
        <v>71</v>
      </c>
      <c r="C964" s="11" t="s">
        <v>59</v>
      </c>
      <c r="D964" s="122" t="s">
        <v>176</v>
      </c>
      <c r="E964" s="550">
        <f>E961</f>
        <v>4.4177617322845295</v>
      </c>
    </row>
    <row r="965" spans="1:5" hidden="1" x14ac:dyDescent="0.25">
      <c r="A965" s="317" t="s">
        <v>72</v>
      </c>
      <c r="B965" s="869" t="s">
        <v>73</v>
      </c>
      <c r="C965" s="870"/>
      <c r="D965" s="870"/>
      <c r="E965" s="871"/>
    </row>
    <row r="966" spans="1:5" hidden="1" x14ac:dyDescent="0.25">
      <c r="A966" s="864" t="s">
        <v>79</v>
      </c>
      <c r="B966" s="18" t="s">
        <v>74</v>
      </c>
      <c r="C966" s="11" t="s">
        <v>59</v>
      </c>
      <c r="D966" s="124" t="s">
        <v>106</v>
      </c>
      <c r="E966" s="558">
        <v>0.31</v>
      </c>
    </row>
    <row r="967" spans="1:5" hidden="1" x14ac:dyDescent="0.25">
      <c r="A967" s="865"/>
      <c r="B967" s="19" t="s">
        <v>75</v>
      </c>
      <c r="C967" s="53" t="s">
        <v>76</v>
      </c>
      <c r="D967" s="124" t="s">
        <v>106</v>
      </c>
      <c r="E967" s="558">
        <v>2.34</v>
      </c>
    </row>
    <row r="968" spans="1:5" ht="15.75" hidden="1" thickBot="1" x14ac:dyDescent="0.3">
      <c r="A968" s="865"/>
      <c r="B968" s="19" t="s">
        <v>77</v>
      </c>
      <c r="C968" s="123" t="s">
        <v>78</v>
      </c>
      <c r="D968" s="124" t="s">
        <v>106</v>
      </c>
      <c r="E968" s="558">
        <v>46.34</v>
      </c>
    </row>
    <row r="969" spans="1:5" hidden="1" x14ac:dyDescent="0.25">
      <c r="A969" s="317" t="s">
        <v>80</v>
      </c>
      <c r="B969" s="127" t="s">
        <v>81</v>
      </c>
      <c r="C969" s="11" t="s">
        <v>59</v>
      </c>
      <c r="D969" s="62"/>
      <c r="E969" s="558">
        <v>-7.0000000000000007E-2</v>
      </c>
    </row>
    <row r="970" spans="1:5" hidden="1" x14ac:dyDescent="0.25">
      <c r="A970" s="317" t="s">
        <v>82</v>
      </c>
      <c r="B970" s="127" t="s">
        <v>83</v>
      </c>
      <c r="C970" s="11" t="s">
        <v>59</v>
      </c>
      <c r="D970" s="62"/>
      <c r="E970" s="558">
        <v>-0.14000000000000001</v>
      </c>
    </row>
    <row r="971" spans="1:5" hidden="1" x14ac:dyDescent="0.25">
      <c r="A971" s="317" t="s">
        <v>84</v>
      </c>
      <c r="B971" s="127" t="s">
        <v>267</v>
      </c>
      <c r="C971" s="11" t="s">
        <v>59</v>
      </c>
      <c r="D971" s="62"/>
      <c r="E971" s="559">
        <f>E952+E959+E966+E969+E970</f>
        <v>27.771551944148936</v>
      </c>
    </row>
    <row r="972" spans="1:5" hidden="1" x14ac:dyDescent="0.25">
      <c r="A972" s="317" t="s">
        <v>85</v>
      </c>
      <c r="B972" s="127" t="s">
        <v>86</v>
      </c>
      <c r="C972" s="11" t="s">
        <v>59</v>
      </c>
      <c r="D972" s="62"/>
      <c r="E972" s="558">
        <v>0</v>
      </c>
    </row>
    <row r="973" spans="1:5" hidden="1" x14ac:dyDescent="0.25">
      <c r="A973" s="317" t="s">
        <v>87</v>
      </c>
      <c r="B973" s="127" t="s">
        <v>88</v>
      </c>
      <c r="C973" s="9" t="s">
        <v>59</v>
      </c>
      <c r="D973" s="129"/>
      <c r="E973" s="559">
        <f>E971</f>
        <v>27.771551944148936</v>
      </c>
    </row>
    <row r="974" spans="1:5" hidden="1" x14ac:dyDescent="0.25">
      <c r="A974" s="317" t="s">
        <v>89</v>
      </c>
      <c r="B974" s="127" t="s">
        <v>90</v>
      </c>
      <c r="C974" s="9" t="s">
        <v>59</v>
      </c>
      <c r="D974" s="129"/>
      <c r="E974" s="560">
        <f>E973*1.09</f>
        <v>30.270991619122341</v>
      </c>
    </row>
    <row r="975" spans="1:5" hidden="1" x14ac:dyDescent="0.25">
      <c r="A975" s="317" t="s">
        <v>91</v>
      </c>
      <c r="B975" s="127" t="s">
        <v>92</v>
      </c>
      <c r="C975" s="9" t="s">
        <v>59</v>
      </c>
      <c r="D975" s="129"/>
      <c r="E975" s="560">
        <f>E882</f>
        <v>27.950462077127657</v>
      </c>
    </row>
    <row r="976" spans="1:5" hidden="1" x14ac:dyDescent="0.25">
      <c r="A976" s="317" t="s">
        <v>93</v>
      </c>
      <c r="B976" s="127" t="s">
        <v>94</v>
      </c>
      <c r="C976" s="126" t="s">
        <v>95</v>
      </c>
      <c r="D976" s="129"/>
      <c r="E976" s="560">
        <f>(E971/E975)*100-100</f>
        <v>-0.64009722803520219</v>
      </c>
    </row>
    <row r="977" spans="1:5" hidden="1" x14ac:dyDescent="0.25">
      <c r="A977" s="317" t="s">
        <v>96</v>
      </c>
      <c r="B977" s="128" t="s">
        <v>97</v>
      </c>
      <c r="C977" s="130" t="s">
        <v>98</v>
      </c>
      <c r="D977" s="131"/>
      <c r="E977" s="561">
        <v>2.8</v>
      </c>
    </row>
    <row r="978" spans="1:5" hidden="1" x14ac:dyDescent="0.25">
      <c r="A978" s="317" t="s">
        <v>99</v>
      </c>
      <c r="B978" s="128" t="s">
        <v>100</v>
      </c>
      <c r="C978" s="125" t="s">
        <v>98</v>
      </c>
      <c r="D978" s="62"/>
      <c r="E978" s="561">
        <v>2.2999999999999998</v>
      </c>
    </row>
    <row r="979" spans="1:5" ht="15.75" hidden="1" thickBot="1" x14ac:dyDescent="0.3">
      <c r="A979" s="22" t="s">
        <v>101</v>
      </c>
      <c r="B979" s="23" t="s">
        <v>102</v>
      </c>
      <c r="C979" s="318" t="s">
        <v>98</v>
      </c>
      <c r="D979" s="319"/>
      <c r="E979" s="562">
        <v>0</v>
      </c>
    </row>
    <row r="980" spans="1:5" hidden="1" x14ac:dyDescent="0.25"/>
    <row r="981" spans="1:5" hidden="1" x14ac:dyDescent="0.25"/>
    <row r="982" spans="1:5" hidden="1" x14ac:dyDescent="0.25"/>
    <row r="983" spans="1:5" hidden="1" x14ac:dyDescent="0.25">
      <c r="B983" s="306"/>
    </row>
    <row r="984" spans="1:5" hidden="1" x14ac:dyDescent="0.25">
      <c r="A984" s="298"/>
      <c r="B984" s="298"/>
      <c r="C984" s="298"/>
      <c r="D984" s="298"/>
      <c r="E984" s="480"/>
    </row>
    <row r="985" spans="1:5" hidden="1" x14ac:dyDescent="0.25">
      <c r="A985" s="298"/>
      <c r="B985" s="298"/>
      <c r="C985" s="298"/>
      <c r="D985" s="298"/>
      <c r="E985" s="480"/>
    </row>
    <row r="986" spans="1:5" hidden="1" x14ac:dyDescent="0.25"/>
    <row r="987" spans="1:5" hidden="1" x14ac:dyDescent="0.25"/>
    <row r="988" spans="1:5" hidden="1" x14ac:dyDescent="0.25"/>
    <row r="989" spans="1:5" hidden="1" x14ac:dyDescent="0.25"/>
    <row r="990" spans="1:5" hidden="1" x14ac:dyDescent="0.25"/>
    <row r="991" spans="1:5" hidden="1" x14ac:dyDescent="0.25"/>
    <row r="992" spans="1:5" hidden="1" x14ac:dyDescent="0.25"/>
    <row r="993" spans="1:5" hidden="1" x14ac:dyDescent="0.25"/>
    <row r="994" spans="1:5" hidden="1" x14ac:dyDescent="0.25"/>
    <row r="995" spans="1:5" hidden="1" x14ac:dyDescent="0.25"/>
    <row r="996" spans="1:5" hidden="1" x14ac:dyDescent="0.25"/>
    <row r="997" spans="1:5" hidden="1" x14ac:dyDescent="0.25">
      <c r="B997" t="s">
        <v>189</v>
      </c>
      <c r="C997" t="s">
        <v>193</v>
      </c>
      <c r="D997" s="146" t="s">
        <v>190</v>
      </c>
    </row>
    <row r="998" spans="1:5" hidden="1" x14ac:dyDescent="0.25">
      <c r="C998" s="153" t="s">
        <v>194</v>
      </c>
    </row>
    <row r="999" spans="1:5" hidden="1" x14ac:dyDescent="0.25"/>
    <row r="1000" spans="1:5" hidden="1" x14ac:dyDescent="0.25"/>
    <row r="1001" spans="1:5" hidden="1" x14ac:dyDescent="0.25"/>
    <row r="1002" spans="1:5" hidden="1" x14ac:dyDescent="0.25">
      <c r="A1002" s="132" t="s">
        <v>0</v>
      </c>
      <c r="B1002" s="132"/>
      <c r="C1002" s="132"/>
      <c r="D1002" s="132"/>
      <c r="E1002" s="480" t="s">
        <v>107</v>
      </c>
    </row>
    <row r="1003" spans="1:5" hidden="1" x14ac:dyDescent="0.25">
      <c r="A1003" s="132" t="s">
        <v>1</v>
      </c>
      <c r="B1003" s="132"/>
      <c r="C1003" s="132"/>
      <c r="D1003" s="132" t="s">
        <v>178</v>
      </c>
      <c r="E1003" s="519"/>
    </row>
    <row r="1004" spans="1:5" hidden="1" x14ac:dyDescent="0.25">
      <c r="A1004" s="132" t="s">
        <v>2</v>
      </c>
      <c r="B1004" s="132"/>
      <c r="C1004" s="132"/>
      <c r="D1004" s="132" t="s">
        <v>167</v>
      </c>
      <c r="E1004" s="520"/>
    </row>
    <row r="1005" spans="1:5" hidden="1" x14ac:dyDescent="0.25">
      <c r="A1005" s="132" t="s">
        <v>3</v>
      </c>
      <c r="B1005" s="132"/>
      <c r="C1005" s="132"/>
      <c r="D1005" s="132" t="s">
        <v>168</v>
      </c>
      <c r="E1005" s="519"/>
    </row>
    <row r="1006" spans="1:5" hidden="1" x14ac:dyDescent="0.25">
      <c r="A1006" s="132" t="s">
        <v>4</v>
      </c>
      <c r="B1006" s="132"/>
      <c r="C1006" s="132"/>
      <c r="D1006" s="132" t="s">
        <v>169</v>
      </c>
      <c r="E1006" s="519"/>
    </row>
    <row r="1007" spans="1:5" hidden="1" x14ac:dyDescent="0.25">
      <c r="A1007" s="152" t="s">
        <v>192</v>
      </c>
      <c r="B1007" s="132"/>
      <c r="C1007" s="132"/>
      <c r="D1007" s="132"/>
      <c r="E1007" s="519"/>
    </row>
    <row r="1008" spans="1:5" hidden="1" x14ac:dyDescent="0.25">
      <c r="A1008" s="132" t="s">
        <v>5</v>
      </c>
      <c r="B1008" s="132"/>
      <c r="C1008" s="132"/>
      <c r="D1008" s="132" t="s">
        <v>170</v>
      </c>
      <c r="E1008" s="519"/>
    </row>
    <row r="1009" spans="1:5" hidden="1" x14ac:dyDescent="0.25">
      <c r="A1009" s="1"/>
      <c r="B1009" s="1"/>
      <c r="C1009" s="1"/>
      <c r="D1009" s="1"/>
      <c r="E1009" s="463"/>
    </row>
    <row r="1010" spans="1:5" ht="15.75" hidden="1" x14ac:dyDescent="0.25">
      <c r="A1010" s="141"/>
      <c r="B1010" s="141" t="s">
        <v>285</v>
      </c>
      <c r="C1010" s="2"/>
      <c r="D1010" s="2"/>
    </row>
    <row r="1011" spans="1:5" ht="15.75" hidden="1" x14ac:dyDescent="0.25">
      <c r="A1011" s="141"/>
      <c r="B1011" s="141"/>
      <c r="C1011" s="150">
        <v>41813</v>
      </c>
      <c r="D1011" s="2"/>
    </row>
    <row r="1012" spans="1:5" ht="15.75" hidden="1" x14ac:dyDescent="0.25">
      <c r="A1012" s="141"/>
      <c r="B1012" s="141"/>
      <c r="C1012" s="151" t="s">
        <v>191</v>
      </c>
      <c r="D1012" s="2"/>
    </row>
    <row r="1013" spans="1:5" hidden="1" x14ac:dyDescent="0.25">
      <c r="A1013" s="2" t="s">
        <v>6</v>
      </c>
      <c r="B1013" s="2"/>
      <c r="C1013" s="2"/>
      <c r="D1013" s="2"/>
      <c r="E1013" s="522"/>
    </row>
    <row r="1014" spans="1:5" hidden="1" x14ac:dyDescent="0.25">
      <c r="A1014" s="1" t="s">
        <v>260</v>
      </c>
      <c r="B1014" s="1"/>
      <c r="C1014" s="1"/>
      <c r="D1014" s="1"/>
      <c r="E1014" s="463"/>
    </row>
    <row r="1015" spans="1:5" hidden="1" x14ac:dyDescent="0.25">
      <c r="A1015" s="1" t="s">
        <v>7</v>
      </c>
      <c r="B1015" s="1"/>
      <c r="C1015" s="1"/>
      <c r="D1015" s="1"/>
      <c r="E1015" s="463"/>
    </row>
    <row r="1016" spans="1:5" hidden="1" x14ac:dyDescent="0.25">
      <c r="A1016" s="326" t="s">
        <v>281</v>
      </c>
      <c r="B1016" s="326"/>
      <c r="C1016" s="326"/>
      <c r="D1016" s="326"/>
      <c r="E1016" s="564"/>
    </row>
    <row r="1017" spans="1:5" hidden="1" x14ac:dyDescent="0.25">
      <c r="A1017" s="238" t="s">
        <v>8</v>
      </c>
      <c r="B1017" s="239" t="s">
        <v>9</v>
      </c>
      <c r="C1017" s="239" t="s">
        <v>10</v>
      </c>
      <c r="D1017" s="239" t="s">
        <v>11</v>
      </c>
      <c r="E1017" s="543" t="s">
        <v>12</v>
      </c>
    </row>
    <row r="1018" spans="1:5" hidden="1" x14ac:dyDescent="0.25">
      <c r="A1018" s="242">
        <v>1</v>
      </c>
      <c r="B1018" s="24">
        <v>2</v>
      </c>
      <c r="C1018" s="24">
        <v>3</v>
      </c>
      <c r="D1018" s="24">
        <v>4</v>
      </c>
      <c r="E1018" s="544">
        <v>5</v>
      </c>
    </row>
    <row r="1019" spans="1:5" hidden="1" x14ac:dyDescent="0.25">
      <c r="A1019" s="307" t="s">
        <v>13</v>
      </c>
      <c r="B1019" s="26" t="s">
        <v>14</v>
      </c>
      <c r="C1019" s="26"/>
      <c r="D1019" s="26"/>
      <c r="E1019" s="545"/>
    </row>
    <row r="1020" spans="1:5" ht="17.25" hidden="1" x14ac:dyDescent="0.3">
      <c r="A1020" s="307" t="s">
        <v>15</v>
      </c>
      <c r="B1020" s="133" t="s">
        <v>183</v>
      </c>
      <c r="C1020" s="9" t="s">
        <v>59</v>
      </c>
      <c r="D1020" s="308" t="s">
        <v>179</v>
      </c>
      <c r="E1020" s="546">
        <f>E1021+E1022</f>
        <v>18.659391880017843</v>
      </c>
    </row>
    <row r="1021" spans="1:5" ht="18.75" hidden="1" x14ac:dyDescent="0.35">
      <c r="A1021" s="309" t="s">
        <v>16</v>
      </c>
      <c r="B1021" s="24" t="s">
        <v>18</v>
      </c>
      <c r="C1021" s="11" t="s">
        <v>59</v>
      </c>
      <c r="D1021" s="122" t="s">
        <v>171</v>
      </c>
      <c r="E1021" s="527">
        <v>4.57</v>
      </c>
    </row>
    <row r="1022" spans="1:5" ht="33" hidden="1" x14ac:dyDescent="0.25">
      <c r="A1022" s="310" t="s">
        <v>17</v>
      </c>
      <c r="B1022" s="149" t="s">
        <v>19</v>
      </c>
      <c r="C1022" s="27" t="s">
        <v>59</v>
      </c>
      <c r="D1022" s="28" t="s">
        <v>278</v>
      </c>
      <c r="E1022" s="547">
        <f>0.29+((4325*E1027+226*E1035+106.1*E1031+509*E1039)/(44.84*1000))/10</f>
        <v>14.089391880017841</v>
      </c>
    </row>
    <row r="1023" spans="1:5" hidden="1" x14ac:dyDescent="0.25">
      <c r="A1023" s="309" t="s">
        <v>21</v>
      </c>
      <c r="B1023" s="30" t="s">
        <v>22</v>
      </c>
      <c r="C1023" s="31"/>
      <c r="D1023" s="33"/>
      <c r="E1023" s="548"/>
    </row>
    <row r="1024" spans="1:5" hidden="1" x14ac:dyDescent="0.25">
      <c r="A1024" s="311" t="s">
        <v>23</v>
      </c>
      <c r="B1024" s="48" t="s">
        <v>24</v>
      </c>
      <c r="C1024" s="49"/>
      <c r="D1024" s="49"/>
      <c r="E1024" s="549"/>
    </row>
    <row r="1025" spans="1:5" hidden="1" x14ac:dyDescent="0.25">
      <c r="A1025" s="309" t="s">
        <v>25</v>
      </c>
      <c r="B1025" s="24" t="s">
        <v>26</v>
      </c>
      <c r="C1025" s="32" t="s">
        <v>41</v>
      </c>
      <c r="D1025" s="24"/>
      <c r="E1025" s="550">
        <v>996.42</v>
      </c>
    </row>
    <row r="1026" spans="1:5" hidden="1" x14ac:dyDescent="0.25">
      <c r="A1026" s="309" t="s">
        <v>27</v>
      </c>
      <c r="B1026" s="24" t="s">
        <v>28</v>
      </c>
      <c r="C1026" s="5" t="s">
        <v>41</v>
      </c>
      <c r="D1026" s="24"/>
      <c r="E1026" s="544">
        <v>313.23</v>
      </c>
    </row>
    <row r="1027" spans="1:5" hidden="1" x14ac:dyDescent="0.25">
      <c r="A1027" s="309" t="s">
        <v>29</v>
      </c>
      <c r="B1027" s="38" t="s">
        <v>30</v>
      </c>
      <c r="C1027" s="39" t="s">
        <v>41</v>
      </c>
      <c r="D1027" s="24"/>
      <c r="E1027" s="551">
        <f>E1025+E1026</f>
        <v>1309.6500000000001</v>
      </c>
    </row>
    <row r="1028" spans="1:5" hidden="1" x14ac:dyDescent="0.25">
      <c r="A1028" s="312" t="s">
        <v>31</v>
      </c>
      <c r="B1028" s="41" t="s">
        <v>265</v>
      </c>
      <c r="C1028" s="42"/>
      <c r="D1028" s="42"/>
      <c r="E1028" s="552"/>
    </row>
    <row r="1029" spans="1:5" hidden="1" x14ac:dyDescent="0.25">
      <c r="A1029" s="309" t="s">
        <v>35</v>
      </c>
      <c r="B1029" s="24" t="s">
        <v>26</v>
      </c>
      <c r="C1029" s="40" t="s">
        <v>33</v>
      </c>
      <c r="D1029" s="24"/>
      <c r="E1029" s="550"/>
    </row>
    <row r="1030" spans="1:5" hidden="1" x14ac:dyDescent="0.25">
      <c r="A1030" s="309" t="s">
        <v>36</v>
      </c>
      <c r="B1030" s="24" t="s">
        <v>28</v>
      </c>
      <c r="C1030" s="4" t="s">
        <v>33</v>
      </c>
      <c r="D1030" s="24"/>
      <c r="E1030" s="550"/>
    </row>
    <row r="1031" spans="1:5" hidden="1" x14ac:dyDescent="0.25">
      <c r="A1031" s="309" t="s">
        <v>37</v>
      </c>
      <c r="B1031" s="24" t="s">
        <v>30</v>
      </c>
      <c r="C1031" s="43" t="s">
        <v>33</v>
      </c>
      <c r="D1031" s="24"/>
      <c r="E1031" s="551">
        <v>408.99</v>
      </c>
    </row>
    <row r="1032" spans="1:5" hidden="1" x14ac:dyDescent="0.25">
      <c r="A1032" s="312" t="s">
        <v>31</v>
      </c>
      <c r="B1032" s="41" t="s">
        <v>266</v>
      </c>
      <c r="C1032" s="42"/>
      <c r="D1032" s="42"/>
      <c r="E1032" s="552"/>
    </row>
    <row r="1033" spans="1:5" hidden="1" x14ac:dyDescent="0.25">
      <c r="A1033" s="309" t="s">
        <v>35</v>
      </c>
      <c r="B1033" s="24" t="s">
        <v>26</v>
      </c>
      <c r="C1033" s="40" t="s">
        <v>33</v>
      </c>
      <c r="D1033" s="24"/>
      <c r="E1033" s="550"/>
    </row>
    <row r="1034" spans="1:5" hidden="1" x14ac:dyDescent="0.25">
      <c r="A1034" s="309" t="s">
        <v>36</v>
      </c>
      <c r="B1034" s="24" t="s">
        <v>28</v>
      </c>
      <c r="C1034" s="4" t="s">
        <v>33</v>
      </c>
      <c r="D1034" s="24"/>
      <c r="E1034" s="550"/>
    </row>
    <row r="1035" spans="1:5" hidden="1" x14ac:dyDescent="0.25">
      <c r="A1035" s="309" t="s">
        <v>37</v>
      </c>
      <c r="B1035" s="24" t="s">
        <v>30</v>
      </c>
      <c r="C1035" s="43" t="s">
        <v>33</v>
      </c>
      <c r="D1035" s="24"/>
      <c r="E1035" s="551">
        <v>360.24</v>
      </c>
    </row>
    <row r="1036" spans="1:5" hidden="1" x14ac:dyDescent="0.25">
      <c r="A1036" s="313" t="s">
        <v>34</v>
      </c>
      <c r="B1036" s="45" t="s">
        <v>103</v>
      </c>
      <c r="C1036" s="46"/>
      <c r="D1036" s="46"/>
      <c r="E1036" s="553"/>
    </row>
    <row r="1037" spans="1:5" hidden="1" x14ac:dyDescent="0.25">
      <c r="A1037" s="314" t="s">
        <v>38</v>
      </c>
      <c r="B1037" s="44" t="s">
        <v>26</v>
      </c>
      <c r="C1037" s="40" t="s">
        <v>33</v>
      </c>
      <c r="D1037" s="24"/>
      <c r="E1037" s="550">
        <f>Lapas3!D908</f>
        <v>0</v>
      </c>
    </row>
    <row r="1038" spans="1:5" hidden="1" x14ac:dyDescent="0.25">
      <c r="A1038" s="314" t="s">
        <v>39</v>
      </c>
      <c r="B1038" s="24" t="s">
        <v>28</v>
      </c>
      <c r="C1038" s="4" t="s">
        <v>33</v>
      </c>
      <c r="D1038" s="24"/>
      <c r="E1038" s="544"/>
    </row>
    <row r="1039" spans="1:5" hidden="1" x14ac:dyDescent="0.25">
      <c r="A1039" s="21" t="s">
        <v>40</v>
      </c>
      <c r="B1039" s="38" t="s">
        <v>30</v>
      </c>
      <c r="C1039" s="43" t="s">
        <v>33</v>
      </c>
      <c r="D1039" s="24"/>
      <c r="E1039" s="551">
        <v>783.11</v>
      </c>
    </row>
    <row r="1040" spans="1:5" hidden="1" x14ac:dyDescent="0.25">
      <c r="A1040" s="315" t="s">
        <v>42</v>
      </c>
      <c r="B1040" s="51" t="s">
        <v>43</v>
      </c>
      <c r="C1040" s="52"/>
      <c r="D1040" s="52"/>
      <c r="E1040" s="554"/>
    </row>
    <row r="1041" spans="1:5" hidden="1" x14ac:dyDescent="0.25">
      <c r="A1041" s="242" t="s">
        <v>44</v>
      </c>
      <c r="B1041" s="24" t="s">
        <v>104</v>
      </c>
      <c r="C1041" s="24"/>
      <c r="D1041" s="24"/>
      <c r="E1041" s="555" t="s">
        <v>106</v>
      </c>
    </row>
    <row r="1042" spans="1:5" hidden="1" x14ac:dyDescent="0.25">
      <c r="A1042" s="242" t="s">
        <v>45</v>
      </c>
      <c r="B1042" s="24" t="s">
        <v>105</v>
      </c>
      <c r="C1042" s="11" t="s">
        <v>59</v>
      </c>
      <c r="D1042" s="24"/>
      <c r="E1042" s="544">
        <v>0</v>
      </c>
    </row>
    <row r="1043" spans="1:5" ht="17.25" hidden="1" x14ac:dyDescent="0.3">
      <c r="A1043" s="316" t="s">
        <v>46</v>
      </c>
      <c r="B1043" s="136" t="s">
        <v>172</v>
      </c>
      <c r="C1043" s="139" t="s">
        <v>59</v>
      </c>
      <c r="D1043" s="140" t="s">
        <v>181</v>
      </c>
      <c r="E1043" s="563">
        <f>E1044+E1045</f>
        <v>18.659391880017843</v>
      </c>
    </row>
    <row r="1044" spans="1:5" ht="18.75" hidden="1" x14ac:dyDescent="0.35">
      <c r="A1044" s="242" t="s">
        <v>48</v>
      </c>
      <c r="B1044" s="24" t="s">
        <v>49</v>
      </c>
      <c r="C1044" s="53" t="s">
        <v>59</v>
      </c>
      <c r="D1044" s="122" t="s">
        <v>173</v>
      </c>
      <c r="E1044" s="550">
        <f>E1021</f>
        <v>4.57</v>
      </c>
    </row>
    <row r="1045" spans="1:5" ht="33" hidden="1" x14ac:dyDescent="0.25">
      <c r="A1045" s="310" t="s">
        <v>50</v>
      </c>
      <c r="B1045" s="35" t="s">
        <v>51</v>
      </c>
      <c r="C1045" s="27" t="s">
        <v>59</v>
      </c>
      <c r="D1045" s="54" t="s">
        <v>278</v>
      </c>
      <c r="E1045" s="557">
        <f>E1022</f>
        <v>14.089391880017841</v>
      </c>
    </row>
    <row r="1046" spans="1:5" hidden="1" x14ac:dyDescent="0.25">
      <c r="A1046" s="242" t="s">
        <v>52</v>
      </c>
      <c r="B1046" s="55" t="s">
        <v>53</v>
      </c>
      <c r="C1046" s="33"/>
      <c r="D1046" s="33"/>
      <c r="E1046" s="548"/>
    </row>
    <row r="1047" spans="1:5" hidden="1" x14ac:dyDescent="0.25">
      <c r="A1047" s="242" t="s">
        <v>54</v>
      </c>
      <c r="B1047" s="24" t="s">
        <v>55</v>
      </c>
      <c r="C1047" s="11" t="s">
        <v>56</v>
      </c>
      <c r="D1047" s="24"/>
      <c r="E1047" s="544">
        <v>33.340000000000003</v>
      </c>
    </row>
    <row r="1048" spans="1:5" hidden="1" x14ac:dyDescent="0.25">
      <c r="A1048" s="242" t="s">
        <v>57</v>
      </c>
      <c r="B1048" s="24" t="s">
        <v>58</v>
      </c>
      <c r="C1048" s="11" t="s">
        <v>59</v>
      </c>
      <c r="D1048" s="56" t="s">
        <v>47</v>
      </c>
      <c r="E1048" s="550">
        <f>E1045</f>
        <v>14.089391880017841</v>
      </c>
    </row>
    <row r="1049" spans="1:5" hidden="1" x14ac:dyDescent="0.25">
      <c r="A1049" s="307" t="s">
        <v>60</v>
      </c>
      <c r="B1049" s="866" t="s">
        <v>61</v>
      </c>
      <c r="C1049" s="867"/>
      <c r="D1049" s="867"/>
      <c r="E1049" s="868"/>
    </row>
    <row r="1050" spans="1:5" ht="17.25" hidden="1" x14ac:dyDescent="0.3">
      <c r="A1050" s="12" t="s">
        <v>62</v>
      </c>
      <c r="B1050" s="16" t="s">
        <v>182</v>
      </c>
      <c r="C1050" s="9" t="s">
        <v>59</v>
      </c>
      <c r="D1050" s="140" t="s">
        <v>180</v>
      </c>
      <c r="E1050" s="546">
        <f>E1051+E1052</f>
        <v>6.4429254577481174</v>
      </c>
    </row>
    <row r="1051" spans="1:5" ht="18.75" hidden="1" x14ac:dyDescent="0.35">
      <c r="A1051" s="13" t="s">
        <v>63</v>
      </c>
      <c r="B1051" s="14" t="s">
        <v>64</v>
      </c>
      <c r="C1051" s="11" t="s">
        <v>59</v>
      </c>
      <c r="D1051" s="122" t="s">
        <v>174</v>
      </c>
      <c r="E1051" s="544">
        <v>2.44</v>
      </c>
    </row>
    <row r="1052" spans="1:5" ht="18.75" hidden="1" x14ac:dyDescent="0.25">
      <c r="A1052" s="13" t="s">
        <v>65</v>
      </c>
      <c r="B1052" s="15" t="s">
        <v>66</v>
      </c>
      <c r="C1052" s="20"/>
      <c r="D1052" s="327" t="s">
        <v>279</v>
      </c>
      <c r="E1052" s="550">
        <f>0.41+(7.24*E1020/37.6)</f>
        <v>4.002925457748117</v>
      </c>
    </row>
    <row r="1053" spans="1:5" hidden="1" x14ac:dyDescent="0.25">
      <c r="A1053" s="12" t="s">
        <v>67</v>
      </c>
      <c r="B1053" s="16" t="s">
        <v>68</v>
      </c>
      <c r="C1053" s="9"/>
      <c r="D1053" s="24"/>
      <c r="E1053" s="544"/>
    </row>
    <row r="1054" spans="1:5" hidden="1" x14ac:dyDescent="0.25">
      <c r="A1054" s="12" t="s">
        <v>69</v>
      </c>
      <c r="B1054" s="17" t="s">
        <v>55</v>
      </c>
      <c r="C1054" s="10" t="s">
        <v>56</v>
      </c>
      <c r="D1054" s="24"/>
      <c r="E1054" s="550">
        <v>16.100000000000001</v>
      </c>
    </row>
    <row r="1055" spans="1:5" ht="18.75" hidden="1" x14ac:dyDescent="0.35">
      <c r="A1055" s="12" t="s">
        <v>70</v>
      </c>
      <c r="B1055" s="17" t="s">
        <v>71</v>
      </c>
      <c r="C1055" s="11" t="s">
        <v>59</v>
      </c>
      <c r="D1055" s="122" t="s">
        <v>176</v>
      </c>
      <c r="E1055" s="550">
        <f>E1052</f>
        <v>4.002925457748117</v>
      </c>
    </row>
    <row r="1056" spans="1:5" hidden="1" x14ac:dyDescent="0.25">
      <c r="A1056" s="317" t="s">
        <v>72</v>
      </c>
      <c r="B1056" s="869" t="s">
        <v>73</v>
      </c>
      <c r="C1056" s="870"/>
      <c r="D1056" s="870"/>
      <c r="E1056" s="871"/>
    </row>
    <row r="1057" spans="1:5" hidden="1" x14ac:dyDescent="0.25">
      <c r="A1057" s="864" t="s">
        <v>79</v>
      </c>
      <c r="B1057" s="18" t="s">
        <v>74</v>
      </c>
      <c r="C1057" s="11" t="s">
        <v>59</v>
      </c>
      <c r="D1057" s="124" t="s">
        <v>106</v>
      </c>
      <c r="E1057" s="558">
        <v>0.31</v>
      </c>
    </row>
    <row r="1058" spans="1:5" hidden="1" x14ac:dyDescent="0.25">
      <c r="A1058" s="865"/>
      <c r="B1058" s="19" t="s">
        <v>75</v>
      </c>
      <c r="C1058" s="53" t="s">
        <v>76</v>
      </c>
      <c r="D1058" s="124" t="s">
        <v>106</v>
      </c>
      <c r="E1058" s="558">
        <v>2.34</v>
      </c>
    </row>
    <row r="1059" spans="1:5" ht="15.75" hidden="1" thickBot="1" x14ac:dyDescent="0.3">
      <c r="A1059" s="865"/>
      <c r="B1059" s="19" t="s">
        <v>77</v>
      </c>
      <c r="C1059" s="123" t="s">
        <v>78</v>
      </c>
      <c r="D1059" s="124" t="s">
        <v>106</v>
      </c>
      <c r="E1059" s="558">
        <v>46.34</v>
      </c>
    </row>
    <row r="1060" spans="1:5" hidden="1" x14ac:dyDescent="0.25">
      <c r="A1060" s="317" t="s">
        <v>80</v>
      </c>
      <c r="B1060" s="127" t="s">
        <v>81</v>
      </c>
      <c r="C1060" s="11" t="s">
        <v>59</v>
      </c>
      <c r="D1060" s="62"/>
      <c r="E1060" s="558">
        <v>-7.0000000000000007E-2</v>
      </c>
    </row>
    <row r="1061" spans="1:5" hidden="1" x14ac:dyDescent="0.25">
      <c r="A1061" s="317" t="s">
        <v>82</v>
      </c>
      <c r="B1061" s="127" t="s">
        <v>83</v>
      </c>
      <c r="C1061" s="11" t="s">
        <v>59</v>
      </c>
      <c r="D1061" s="62"/>
      <c r="E1061" s="558">
        <v>-0.14000000000000001</v>
      </c>
    </row>
    <row r="1062" spans="1:5" hidden="1" x14ac:dyDescent="0.25">
      <c r="A1062" s="317" t="s">
        <v>84</v>
      </c>
      <c r="B1062" s="127" t="s">
        <v>267</v>
      </c>
      <c r="C1062" s="11" t="s">
        <v>59</v>
      </c>
      <c r="D1062" s="62"/>
      <c r="E1062" s="559">
        <f>E1043+E1050+E1057+E1060+E1061</f>
        <v>25.202317337765958</v>
      </c>
    </row>
    <row r="1063" spans="1:5" hidden="1" x14ac:dyDescent="0.25">
      <c r="A1063" s="317" t="s">
        <v>85</v>
      </c>
      <c r="B1063" s="127" t="s">
        <v>86</v>
      </c>
      <c r="C1063" s="11" t="s">
        <v>59</v>
      </c>
      <c r="D1063" s="62"/>
      <c r="E1063" s="558">
        <v>0</v>
      </c>
    </row>
    <row r="1064" spans="1:5" hidden="1" x14ac:dyDescent="0.25">
      <c r="A1064" s="317" t="s">
        <v>87</v>
      </c>
      <c r="B1064" s="127" t="s">
        <v>88</v>
      </c>
      <c r="C1064" s="9" t="s">
        <v>59</v>
      </c>
      <c r="D1064" s="129"/>
      <c r="E1064" s="559">
        <f>E1062</f>
        <v>25.202317337765958</v>
      </c>
    </row>
    <row r="1065" spans="1:5" hidden="1" x14ac:dyDescent="0.25">
      <c r="A1065" s="317" t="s">
        <v>89</v>
      </c>
      <c r="B1065" s="127" t="s">
        <v>90</v>
      </c>
      <c r="C1065" s="9" t="s">
        <v>59</v>
      </c>
      <c r="D1065" s="129"/>
      <c r="E1065" s="560">
        <f>E1064*1.09</f>
        <v>27.470525898164897</v>
      </c>
    </row>
    <row r="1066" spans="1:5" hidden="1" x14ac:dyDescent="0.25">
      <c r="A1066" s="317" t="s">
        <v>91</v>
      </c>
      <c r="B1066" s="127" t="s">
        <v>92</v>
      </c>
      <c r="C1066" s="9" t="s">
        <v>59</v>
      </c>
      <c r="D1066" s="129"/>
      <c r="E1066" s="560">
        <f>E973</f>
        <v>27.771551944148936</v>
      </c>
    </row>
    <row r="1067" spans="1:5" hidden="1" x14ac:dyDescent="0.25">
      <c r="A1067" s="317" t="s">
        <v>93</v>
      </c>
      <c r="B1067" s="127" t="s">
        <v>94</v>
      </c>
      <c r="C1067" s="126" t="s">
        <v>95</v>
      </c>
      <c r="D1067" s="129"/>
      <c r="E1067" s="560">
        <f>(E1062/E1066)*100-100</f>
        <v>-9.2513180809986295</v>
      </c>
    </row>
    <row r="1068" spans="1:5" hidden="1" x14ac:dyDescent="0.25">
      <c r="A1068" s="317" t="s">
        <v>96</v>
      </c>
      <c r="B1068" s="128" t="s">
        <v>97</v>
      </c>
      <c r="C1068" s="130" t="s">
        <v>98</v>
      </c>
      <c r="D1068" s="131"/>
      <c r="E1068" s="561">
        <v>1.2</v>
      </c>
    </row>
    <row r="1069" spans="1:5" hidden="1" x14ac:dyDescent="0.25">
      <c r="A1069" s="317" t="s">
        <v>99</v>
      </c>
      <c r="B1069" s="128" t="s">
        <v>100</v>
      </c>
      <c r="C1069" s="125" t="s">
        <v>98</v>
      </c>
      <c r="D1069" s="62"/>
      <c r="E1069" s="561">
        <v>0.7</v>
      </c>
    </row>
    <row r="1070" spans="1:5" ht="15.75" hidden="1" thickBot="1" x14ac:dyDescent="0.3">
      <c r="A1070" s="22" t="s">
        <v>101</v>
      </c>
      <c r="B1070" s="23" t="s">
        <v>102</v>
      </c>
      <c r="C1070" s="318" t="s">
        <v>98</v>
      </c>
      <c r="D1070" s="319"/>
      <c r="E1070" s="562">
        <v>0</v>
      </c>
    </row>
    <row r="1071" spans="1:5" hidden="1" x14ac:dyDescent="0.25"/>
    <row r="1072" spans="1:5" hidden="1" x14ac:dyDescent="0.25"/>
    <row r="1073" spans="1:5" hidden="1" x14ac:dyDescent="0.25"/>
    <row r="1074" spans="1:5" hidden="1" x14ac:dyDescent="0.25">
      <c r="B1074" s="306"/>
    </row>
    <row r="1075" spans="1:5" hidden="1" x14ac:dyDescent="0.25">
      <c r="A1075" s="298"/>
      <c r="B1075" s="298"/>
      <c r="C1075" s="298"/>
      <c r="D1075" s="298"/>
      <c r="E1075" s="480"/>
    </row>
    <row r="1076" spans="1:5" hidden="1" x14ac:dyDescent="0.25">
      <c r="A1076" s="298"/>
      <c r="B1076" s="298"/>
      <c r="C1076" s="298"/>
      <c r="D1076" s="298"/>
      <c r="E1076" s="480"/>
    </row>
    <row r="1077" spans="1:5" hidden="1" x14ac:dyDescent="0.25"/>
    <row r="1078" spans="1:5" hidden="1" x14ac:dyDescent="0.25"/>
    <row r="1079" spans="1:5" hidden="1" x14ac:dyDescent="0.25"/>
    <row r="1080" spans="1:5" hidden="1" x14ac:dyDescent="0.25"/>
    <row r="1081" spans="1:5" hidden="1" x14ac:dyDescent="0.25"/>
    <row r="1082" spans="1:5" hidden="1" x14ac:dyDescent="0.25"/>
    <row r="1083" spans="1:5" hidden="1" x14ac:dyDescent="0.25"/>
    <row r="1084" spans="1:5" hidden="1" x14ac:dyDescent="0.25"/>
    <row r="1085" spans="1:5" hidden="1" x14ac:dyDescent="0.25"/>
    <row r="1086" spans="1:5" hidden="1" x14ac:dyDescent="0.25"/>
    <row r="1087" spans="1:5" hidden="1" x14ac:dyDescent="0.25"/>
    <row r="1088" spans="1:5" hidden="1" x14ac:dyDescent="0.25">
      <c r="B1088" t="s">
        <v>189</v>
      </c>
      <c r="C1088" t="s">
        <v>193</v>
      </c>
      <c r="D1088" s="146" t="s">
        <v>190</v>
      </c>
    </row>
    <row r="1089" spans="1:5" hidden="1" x14ac:dyDescent="0.25">
      <c r="C1089" s="153" t="s">
        <v>194</v>
      </c>
    </row>
    <row r="1090" spans="1:5" hidden="1" x14ac:dyDescent="0.25"/>
    <row r="1091" spans="1:5" hidden="1" x14ac:dyDescent="0.25"/>
    <row r="1092" spans="1:5" hidden="1" x14ac:dyDescent="0.25"/>
    <row r="1093" spans="1:5" hidden="1" x14ac:dyDescent="0.25">
      <c r="A1093" s="132" t="s">
        <v>0</v>
      </c>
      <c r="B1093" s="132"/>
      <c r="C1093" s="132"/>
      <c r="D1093" s="132"/>
      <c r="E1093" s="480" t="s">
        <v>107</v>
      </c>
    </row>
    <row r="1094" spans="1:5" hidden="1" x14ac:dyDescent="0.25">
      <c r="A1094" s="132" t="s">
        <v>1</v>
      </c>
      <c r="B1094" s="132"/>
      <c r="C1094" s="132"/>
      <c r="D1094" s="132" t="s">
        <v>178</v>
      </c>
      <c r="E1094" s="519"/>
    </row>
    <row r="1095" spans="1:5" hidden="1" x14ac:dyDescent="0.25">
      <c r="A1095" s="132" t="s">
        <v>2</v>
      </c>
      <c r="B1095" s="132"/>
      <c r="C1095" s="132"/>
      <c r="D1095" s="132" t="s">
        <v>167</v>
      </c>
      <c r="E1095" s="520"/>
    </row>
    <row r="1096" spans="1:5" hidden="1" x14ac:dyDescent="0.25">
      <c r="A1096" s="132" t="s">
        <v>3</v>
      </c>
      <c r="B1096" s="132"/>
      <c r="C1096" s="132"/>
      <c r="D1096" s="132" t="s">
        <v>168</v>
      </c>
      <c r="E1096" s="519"/>
    </row>
    <row r="1097" spans="1:5" hidden="1" x14ac:dyDescent="0.25">
      <c r="A1097" s="132" t="s">
        <v>4</v>
      </c>
      <c r="B1097" s="132"/>
      <c r="C1097" s="132"/>
      <c r="D1097" s="132" t="s">
        <v>169</v>
      </c>
      <c r="E1097" s="519"/>
    </row>
    <row r="1098" spans="1:5" hidden="1" x14ac:dyDescent="0.25">
      <c r="A1098" s="152" t="s">
        <v>192</v>
      </c>
      <c r="B1098" s="132"/>
      <c r="C1098" s="132"/>
      <c r="D1098" s="132"/>
      <c r="E1098" s="519"/>
    </row>
    <row r="1099" spans="1:5" hidden="1" x14ac:dyDescent="0.25">
      <c r="A1099" s="132" t="s">
        <v>5</v>
      </c>
      <c r="B1099" s="132"/>
      <c r="C1099" s="132"/>
      <c r="D1099" s="132" t="s">
        <v>170</v>
      </c>
      <c r="E1099" s="519"/>
    </row>
    <row r="1100" spans="1:5" hidden="1" x14ac:dyDescent="0.25">
      <c r="A1100" s="1"/>
      <c r="B1100" s="1"/>
      <c r="C1100" s="1"/>
      <c r="D1100" s="1"/>
      <c r="E1100" s="463"/>
    </row>
    <row r="1101" spans="1:5" ht="15.75" hidden="1" x14ac:dyDescent="0.25">
      <c r="A1101" s="141"/>
      <c r="B1101" s="141" t="s">
        <v>286</v>
      </c>
      <c r="C1101" s="2"/>
      <c r="D1101" s="2"/>
    </row>
    <row r="1102" spans="1:5" ht="15.75" hidden="1" x14ac:dyDescent="0.25">
      <c r="A1102" s="141"/>
      <c r="B1102" s="141"/>
      <c r="C1102" s="328">
        <v>41838</v>
      </c>
      <c r="D1102" s="2"/>
    </row>
    <row r="1103" spans="1:5" ht="15.75" hidden="1" x14ac:dyDescent="0.25">
      <c r="A1103" s="141"/>
      <c r="B1103" s="141"/>
      <c r="C1103" s="151" t="s">
        <v>191</v>
      </c>
      <c r="D1103" s="2"/>
    </row>
    <row r="1104" spans="1:5" hidden="1" x14ac:dyDescent="0.25">
      <c r="A1104" s="2" t="s">
        <v>6</v>
      </c>
      <c r="B1104" s="2"/>
      <c r="C1104" s="2"/>
      <c r="D1104" s="2"/>
      <c r="E1104" s="522"/>
    </row>
    <row r="1105" spans="1:5" hidden="1" x14ac:dyDescent="0.25">
      <c r="A1105" s="1" t="s">
        <v>260</v>
      </c>
      <c r="B1105" s="1"/>
      <c r="C1105" s="1"/>
      <c r="D1105" s="1"/>
      <c r="E1105" s="463"/>
    </row>
    <row r="1106" spans="1:5" hidden="1" x14ac:dyDescent="0.25">
      <c r="A1106" s="1" t="s">
        <v>7</v>
      </c>
      <c r="B1106" s="1"/>
      <c r="C1106" s="1"/>
      <c r="D1106" s="1"/>
      <c r="E1106" s="463"/>
    </row>
    <row r="1107" spans="1:5" hidden="1" x14ac:dyDescent="0.25">
      <c r="A1107" s="326" t="s">
        <v>281</v>
      </c>
      <c r="B1107" s="326"/>
      <c r="C1107" s="326"/>
      <c r="D1107" s="326"/>
      <c r="E1107" s="564"/>
    </row>
    <row r="1108" spans="1:5" hidden="1" x14ac:dyDescent="0.25">
      <c r="A1108" s="238" t="s">
        <v>8</v>
      </c>
      <c r="B1108" s="239" t="s">
        <v>9</v>
      </c>
      <c r="C1108" s="239" t="s">
        <v>10</v>
      </c>
      <c r="D1108" s="239" t="s">
        <v>11</v>
      </c>
      <c r="E1108" s="543" t="s">
        <v>12</v>
      </c>
    </row>
    <row r="1109" spans="1:5" hidden="1" x14ac:dyDescent="0.25">
      <c r="A1109" s="242">
        <v>1</v>
      </c>
      <c r="B1109" s="24">
        <v>2</v>
      </c>
      <c r="C1109" s="24">
        <v>3</v>
      </c>
      <c r="D1109" s="24">
        <v>4</v>
      </c>
      <c r="E1109" s="544">
        <v>5</v>
      </c>
    </row>
    <row r="1110" spans="1:5" hidden="1" x14ac:dyDescent="0.25">
      <c r="A1110" s="307" t="s">
        <v>13</v>
      </c>
      <c r="B1110" s="26" t="s">
        <v>14</v>
      </c>
      <c r="C1110" s="26"/>
      <c r="D1110" s="26"/>
      <c r="E1110" s="545"/>
    </row>
    <row r="1111" spans="1:5" ht="17.25" hidden="1" x14ac:dyDescent="0.3">
      <c r="A1111" s="307" t="s">
        <v>15</v>
      </c>
      <c r="B1111" s="133" t="s">
        <v>183</v>
      </c>
      <c r="C1111" s="9" t="s">
        <v>59</v>
      </c>
      <c r="D1111" s="308" t="s">
        <v>179</v>
      </c>
      <c r="E1111" s="546">
        <f>E1112+E1113</f>
        <v>18.622187062890273</v>
      </c>
    </row>
    <row r="1112" spans="1:5" ht="18.75" hidden="1" x14ac:dyDescent="0.35">
      <c r="A1112" s="309" t="s">
        <v>16</v>
      </c>
      <c r="B1112" s="24" t="s">
        <v>18</v>
      </c>
      <c r="C1112" s="11" t="s">
        <v>59</v>
      </c>
      <c r="D1112" s="122" t="s">
        <v>171</v>
      </c>
      <c r="E1112" s="527">
        <v>4.57</v>
      </c>
    </row>
    <row r="1113" spans="1:5" ht="33" hidden="1" x14ac:dyDescent="0.25">
      <c r="A1113" s="310" t="s">
        <v>17</v>
      </c>
      <c r="B1113" s="149" t="s">
        <v>19</v>
      </c>
      <c r="C1113" s="27" t="s">
        <v>59</v>
      </c>
      <c r="D1113" s="28" t="s">
        <v>278</v>
      </c>
      <c r="E1113" s="547">
        <f>0.29+((4325*E1118+226*E1126+106.1*E1122+509*E1130)/(44.84*1000))/10</f>
        <v>14.052187062890273</v>
      </c>
    </row>
    <row r="1114" spans="1:5" hidden="1" x14ac:dyDescent="0.25">
      <c r="A1114" s="309" t="s">
        <v>21</v>
      </c>
      <c r="B1114" s="30" t="s">
        <v>22</v>
      </c>
      <c r="C1114" s="31"/>
      <c r="D1114" s="33"/>
      <c r="E1114" s="548"/>
    </row>
    <row r="1115" spans="1:5" hidden="1" x14ac:dyDescent="0.25">
      <c r="A1115" s="311" t="s">
        <v>23</v>
      </c>
      <c r="B1115" s="48" t="s">
        <v>24</v>
      </c>
      <c r="C1115" s="49"/>
      <c r="D1115" s="49"/>
      <c r="E1115" s="549"/>
    </row>
    <row r="1116" spans="1:5" hidden="1" x14ac:dyDescent="0.25">
      <c r="A1116" s="309" t="s">
        <v>25</v>
      </c>
      <c r="B1116" s="24" t="s">
        <v>26</v>
      </c>
      <c r="C1116" s="32" t="s">
        <v>41</v>
      </c>
      <c r="D1116" s="24"/>
      <c r="E1116" s="550">
        <v>997.19</v>
      </c>
    </row>
    <row r="1117" spans="1:5" hidden="1" x14ac:dyDescent="0.25">
      <c r="A1117" s="309" t="s">
        <v>27</v>
      </c>
      <c r="B1117" s="24" t="s">
        <v>28</v>
      </c>
      <c r="C1117" s="5" t="s">
        <v>41</v>
      </c>
      <c r="D1117" s="24"/>
      <c r="E1117" s="544">
        <v>313.23</v>
      </c>
    </row>
    <row r="1118" spans="1:5" hidden="1" x14ac:dyDescent="0.25">
      <c r="A1118" s="309" t="s">
        <v>29</v>
      </c>
      <c r="B1118" s="38" t="s">
        <v>30</v>
      </c>
      <c r="C1118" s="39" t="s">
        <v>41</v>
      </c>
      <c r="D1118" s="24"/>
      <c r="E1118" s="551">
        <f>E1116+E1117</f>
        <v>1310.42</v>
      </c>
    </row>
    <row r="1119" spans="1:5" hidden="1" x14ac:dyDescent="0.25">
      <c r="A1119" s="312" t="s">
        <v>31</v>
      </c>
      <c r="B1119" s="41" t="s">
        <v>265</v>
      </c>
      <c r="C1119" s="42"/>
      <c r="D1119" s="42"/>
      <c r="E1119" s="552"/>
    </row>
    <row r="1120" spans="1:5" hidden="1" x14ac:dyDescent="0.25">
      <c r="A1120" s="309" t="s">
        <v>35</v>
      </c>
      <c r="B1120" s="24" t="s">
        <v>26</v>
      </c>
      <c r="C1120" s="40" t="s">
        <v>33</v>
      </c>
      <c r="D1120" s="24"/>
      <c r="E1120" s="550"/>
    </row>
    <row r="1121" spans="1:5" hidden="1" x14ac:dyDescent="0.25">
      <c r="A1121" s="309" t="s">
        <v>36</v>
      </c>
      <c r="B1121" s="24" t="s">
        <v>28</v>
      </c>
      <c r="C1121" s="4" t="s">
        <v>33</v>
      </c>
      <c r="D1121" s="24"/>
      <c r="E1121" s="550"/>
    </row>
    <row r="1122" spans="1:5" hidden="1" x14ac:dyDescent="0.25">
      <c r="A1122" s="309" t="s">
        <v>37</v>
      </c>
      <c r="B1122" s="24" t="s">
        <v>30</v>
      </c>
      <c r="C1122" s="43" t="s">
        <v>33</v>
      </c>
      <c r="D1122" s="24"/>
      <c r="E1122" s="551">
        <v>408.99</v>
      </c>
    </row>
    <row r="1123" spans="1:5" hidden="1" x14ac:dyDescent="0.25">
      <c r="A1123" s="312" t="s">
        <v>31</v>
      </c>
      <c r="B1123" s="41" t="s">
        <v>266</v>
      </c>
      <c r="C1123" s="42"/>
      <c r="D1123" s="42"/>
      <c r="E1123" s="552"/>
    </row>
    <row r="1124" spans="1:5" hidden="1" x14ac:dyDescent="0.25">
      <c r="A1124" s="309" t="s">
        <v>35</v>
      </c>
      <c r="B1124" s="24" t="s">
        <v>26</v>
      </c>
      <c r="C1124" s="40" t="s">
        <v>33</v>
      </c>
      <c r="D1124" s="24"/>
      <c r="E1124" s="550"/>
    </row>
    <row r="1125" spans="1:5" hidden="1" x14ac:dyDescent="0.25">
      <c r="A1125" s="309" t="s">
        <v>36</v>
      </c>
      <c r="B1125" s="24" t="s">
        <v>28</v>
      </c>
      <c r="C1125" s="4" t="s">
        <v>33</v>
      </c>
      <c r="D1125" s="24"/>
      <c r="E1125" s="550"/>
    </row>
    <row r="1126" spans="1:5" hidden="1" x14ac:dyDescent="0.25">
      <c r="A1126" s="309" t="s">
        <v>37</v>
      </c>
      <c r="B1126" s="24" t="s">
        <v>30</v>
      </c>
      <c r="C1126" s="43" t="s">
        <v>33</v>
      </c>
      <c r="D1126" s="24"/>
      <c r="E1126" s="551">
        <v>363.42</v>
      </c>
    </row>
    <row r="1127" spans="1:5" hidden="1" x14ac:dyDescent="0.25">
      <c r="A1127" s="313" t="s">
        <v>34</v>
      </c>
      <c r="B1127" s="45" t="s">
        <v>103</v>
      </c>
      <c r="C1127" s="46"/>
      <c r="D1127" s="46"/>
      <c r="E1127" s="553"/>
    </row>
    <row r="1128" spans="1:5" hidden="1" x14ac:dyDescent="0.25">
      <c r="A1128" s="314" t="s">
        <v>38</v>
      </c>
      <c r="B1128" s="44" t="s">
        <v>26</v>
      </c>
      <c r="C1128" s="40" t="s">
        <v>33</v>
      </c>
      <c r="D1128" s="24"/>
      <c r="E1128" s="550">
        <f>Lapas3!D999</f>
        <v>0</v>
      </c>
    </row>
    <row r="1129" spans="1:5" hidden="1" x14ac:dyDescent="0.25">
      <c r="A1129" s="314" t="s">
        <v>39</v>
      </c>
      <c r="B1129" s="24" t="s">
        <v>28</v>
      </c>
      <c r="C1129" s="4" t="s">
        <v>33</v>
      </c>
      <c r="D1129" s="24"/>
      <c r="E1129" s="544"/>
    </row>
    <row r="1130" spans="1:5" hidden="1" x14ac:dyDescent="0.25">
      <c r="A1130" s="21" t="s">
        <v>40</v>
      </c>
      <c r="B1130" s="38" t="s">
        <v>30</v>
      </c>
      <c r="C1130" s="43" t="s">
        <v>33</v>
      </c>
      <c r="D1130" s="24"/>
      <c r="E1130" s="551">
        <v>742.38</v>
      </c>
    </row>
    <row r="1131" spans="1:5" hidden="1" x14ac:dyDescent="0.25">
      <c r="A1131" s="315" t="s">
        <v>42</v>
      </c>
      <c r="B1131" s="51" t="s">
        <v>43</v>
      </c>
      <c r="C1131" s="52"/>
      <c r="D1131" s="52"/>
      <c r="E1131" s="554"/>
    </row>
    <row r="1132" spans="1:5" hidden="1" x14ac:dyDescent="0.25">
      <c r="A1132" s="242" t="s">
        <v>44</v>
      </c>
      <c r="B1132" s="24" t="s">
        <v>104</v>
      </c>
      <c r="C1132" s="24"/>
      <c r="D1132" s="24"/>
      <c r="E1132" s="555" t="s">
        <v>106</v>
      </c>
    </row>
    <row r="1133" spans="1:5" hidden="1" x14ac:dyDescent="0.25">
      <c r="A1133" s="242" t="s">
        <v>45</v>
      </c>
      <c r="B1133" s="24" t="s">
        <v>105</v>
      </c>
      <c r="C1133" s="11" t="s">
        <v>59</v>
      </c>
      <c r="D1133" s="24"/>
      <c r="E1133" s="544">
        <v>0</v>
      </c>
    </row>
    <row r="1134" spans="1:5" ht="17.25" hidden="1" x14ac:dyDescent="0.3">
      <c r="A1134" s="316" t="s">
        <v>46</v>
      </c>
      <c r="B1134" s="136" t="s">
        <v>172</v>
      </c>
      <c r="C1134" s="139" t="s">
        <v>59</v>
      </c>
      <c r="D1134" s="140" t="s">
        <v>181</v>
      </c>
      <c r="E1134" s="563">
        <f>E1135+E1136</f>
        <v>18.622187062890273</v>
      </c>
    </row>
    <row r="1135" spans="1:5" ht="18.75" hidden="1" x14ac:dyDescent="0.35">
      <c r="A1135" s="242" t="s">
        <v>48</v>
      </c>
      <c r="B1135" s="24" t="s">
        <v>49</v>
      </c>
      <c r="C1135" s="53" t="s">
        <v>59</v>
      </c>
      <c r="D1135" s="122" t="s">
        <v>173</v>
      </c>
      <c r="E1135" s="550">
        <f>E1112</f>
        <v>4.57</v>
      </c>
    </row>
    <row r="1136" spans="1:5" ht="33" hidden="1" x14ac:dyDescent="0.25">
      <c r="A1136" s="310" t="s">
        <v>50</v>
      </c>
      <c r="B1136" s="35" t="s">
        <v>51</v>
      </c>
      <c r="C1136" s="27" t="s">
        <v>59</v>
      </c>
      <c r="D1136" s="54" t="s">
        <v>278</v>
      </c>
      <c r="E1136" s="557">
        <f>E1113</f>
        <v>14.052187062890273</v>
      </c>
    </row>
    <row r="1137" spans="1:5" hidden="1" x14ac:dyDescent="0.25">
      <c r="A1137" s="242" t="s">
        <v>52</v>
      </c>
      <c r="B1137" s="55" t="s">
        <v>53</v>
      </c>
      <c r="C1137" s="33"/>
      <c r="D1137" s="33"/>
      <c r="E1137" s="548"/>
    </row>
    <row r="1138" spans="1:5" hidden="1" x14ac:dyDescent="0.25">
      <c r="A1138" s="242" t="s">
        <v>54</v>
      </c>
      <c r="B1138" s="24" t="s">
        <v>55</v>
      </c>
      <c r="C1138" s="11" t="s">
        <v>56</v>
      </c>
      <c r="D1138" s="24"/>
      <c r="E1138" s="544">
        <v>33.340000000000003</v>
      </c>
    </row>
    <row r="1139" spans="1:5" hidden="1" x14ac:dyDescent="0.25">
      <c r="A1139" s="242" t="s">
        <v>57</v>
      </c>
      <c r="B1139" s="24" t="s">
        <v>58</v>
      </c>
      <c r="C1139" s="11" t="s">
        <v>59</v>
      </c>
      <c r="D1139" s="56" t="s">
        <v>47</v>
      </c>
      <c r="E1139" s="550">
        <f>E1136</f>
        <v>14.052187062890273</v>
      </c>
    </row>
    <row r="1140" spans="1:5" hidden="1" x14ac:dyDescent="0.25">
      <c r="A1140" s="307" t="s">
        <v>60</v>
      </c>
      <c r="B1140" s="866" t="s">
        <v>61</v>
      </c>
      <c r="C1140" s="867"/>
      <c r="D1140" s="867"/>
      <c r="E1140" s="868"/>
    </row>
    <row r="1141" spans="1:5" ht="17.25" hidden="1" x14ac:dyDescent="0.3">
      <c r="A1141" s="12" t="s">
        <v>62</v>
      </c>
      <c r="B1141" s="16" t="s">
        <v>182</v>
      </c>
      <c r="C1141" s="9" t="s">
        <v>59</v>
      </c>
      <c r="D1141" s="140" t="s">
        <v>180</v>
      </c>
      <c r="E1141" s="546">
        <f>E1142+E1143</f>
        <v>6.4357615514714253</v>
      </c>
    </row>
    <row r="1142" spans="1:5" ht="18.75" hidden="1" x14ac:dyDescent="0.35">
      <c r="A1142" s="13" t="s">
        <v>63</v>
      </c>
      <c r="B1142" s="14" t="s">
        <v>64</v>
      </c>
      <c r="C1142" s="11" t="s">
        <v>59</v>
      </c>
      <c r="D1142" s="122" t="s">
        <v>174</v>
      </c>
      <c r="E1142" s="544">
        <v>2.44</v>
      </c>
    </row>
    <row r="1143" spans="1:5" ht="18.75" hidden="1" x14ac:dyDescent="0.25">
      <c r="A1143" s="13" t="s">
        <v>65</v>
      </c>
      <c r="B1143" s="15" t="s">
        <v>66</v>
      </c>
      <c r="C1143" s="20"/>
      <c r="D1143" s="327" t="s">
        <v>279</v>
      </c>
      <c r="E1143" s="550">
        <f>0.41+(7.24*E1111/37.6)</f>
        <v>3.9957615514714253</v>
      </c>
    </row>
    <row r="1144" spans="1:5" hidden="1" x14ac:dyDescent="0.25">
      <c r="A1144" s="12" t="s">
        <v>67</v>
      </c>
      <c r="B1144" s="16" t="s">
        <v>68</v>
      </c>
      <c r="C1144" s="9"/>
      <c r="D1144" s="24"/>
      <c r="E1144" s="544"/>
    </row>
    <row r="1145" spans="1:5" hidden="1" x14ac:dyDescent="0.25">
      <c r="A1145" s="12" t="s">
        <v>69</v>
      </c>
      <c r="B1145" s="17" t="s">
        <v>55</v>
      </c>
      <c r="C1145" s="10" t="s">
        <v>56</v>
      </c>
      <c r="D1145" s="24"/>
      <c r="E1145" s="550">
        <v>16.100000000000001</v>
      </c>
    </row>
    <row r="1146" spans="1:5" ht="18.75" hidden="1" x14ac:dyDescent="0.35">
      <c r="A1146" s="12" t="s">
        <v>70</v>
      </c>
      <c r="B1146" s="17" t="s">
        <v>71</v>
      </c>
      <c r="C1146" s="11" t="s">
        <v>59</v>
      </c>
      <c r="D1146" s="122" t="s">
        <v>176</v>
      </c>
      <c r="E1146" s="550">
        <f>E1143</f>
        <v>3.9957615514714253</v>
      </c>
    </row>
    <row r="1147" spans="1:5" hidden="1" x14ac:dyDescent="0.25">
      <c r="A1147" s="317" t="s">
        <v>72</v>
      </c>
      <c r="B1147" s="869" t="s">
        <v>73</v>
      </c>
      <c r="C1147" s="870"/>
      <c r="D1147" s="870"/>
      <c r="E1147" s="871"/>
    </row>
    <row r="1148" spans="1:5" hidden="1" x14ac:dyDescent="0.25">
      <c r="A1148" s="864" t="s">
        <v>79</v>
      </c>
      <c r="B1148" s="18" t="s">
        <v>74</v>
      </c>
      <c r="C1148" s="11" t="s">
        <v>59</v>
      </c>
      <c r="D1148" s="124" t="s">
        <v>106</v>
      </c>
      <c r="E1148" s="558">
        <v>0.31</v>
      </c>
    </row>
    <row r="1149" spans="1:5" hidden="1" x14ac:dyDescent="0.25">
      <c r="A1149" s="865"/>
      <c r="B1149" s="19" t="s">
        <v>75</v>
      </c>
      <c r="C1149" s="53" t="s">
        <v>76</v>
      </c>
      <c r="D1149" s="124" t="s">
        <v>106</v>
      </c>
      <c r="E1149" s="558">
        <v>2.34</v>
      </c>
    </row>
    <row r="1150" spans="1:5" ht="15.75" hidden="1" thickBot="1" x14ac:dyDescent="0.3">
      <c r="A1150" s="865"/>
      <c r="B1150" s="19" t="s">
        <v>77</v>
      </c>
      <c r="C1150" s="123" t="s">
        <v>78</v>
      </c>
      <c r="D1150" s="124" t="s">
        <v>106</v>
      </c>
      <c r="E1150" s="558">
        <v>46.34</v>
      </c>
    </row>
    <row r="1151" spans="1:5" hidden="1" x14ac:dyDescent="0.25">
      <c r="A1151" s="317" t="s">
        <v>80</v>
      </c>
      <c r="B1151" s="127" t="s">
        <v>81</v>
      </c>
      <c r="C1151" s="11" t="s">
        <v>59</v>
      </c>
      <c r="D1151" s="62"/>
      <c r="E1151" s="558">
        <v>-7.0000000000000007E-2</v>
      </c>
    </row>
    <row r="1152" spans="1:5" hidden="1" x14ac:dyDescent="0.25">
      <c r="A1152" s="317" t="s">
        <v>82</v>
      </c>
      <c r="B1152" s="127" t="s">
        <v>83</v>
      </c>
      <c r="C1152" s="11" t="s">
        <v>59</v>
      </c>
      <c r="D1152" s="62"/>
      <c r="E1152" s="558">
        <v>-0.14000000000000001</v>
      </c>
    </row>
    <row r="1153" spans="1:5" hidden="1" x14ac:dyDescent="0.25">
      <c r="A1153" s="317" t="s">
        <v>84</v>
      </c>
      <c r="B1153" s="127" t="s">
        <v>267</v>
      </c>
      <c r="C1153" s="11" t="s">
        <v>59</v>
      </c>
      <c r="D1153" s="62"/>
      <c r="E1153" s="559">
        <f>E1134+E1141+E1148+E1151+E1152</f>
        <v>25.157948614361697</v>
      </c>
    </row>
    <row r="1154" spans="1:5" hidden="1" x14ac:dyDescent="0.25">
      <c r="A1154" s="317" t="s">
        <v>85</v>
      </c>
      <c r="B1154" s="127" t="s">
        <v>86</v>
      </c>
      <c r="C1154" s="11" t="s">
        <v>59</v>
      </c>
      <c r="D1154" s="62"/>
      <c r="E1154" s="558">
        <v>0</v>
      </c>
    </row>
    <row r="1155" spans="1:5" hidden="1" x14ac:dyDescent="0.25">
      <c r="A1155" s="317" t="s">
        <v>87</v>
      </c>
      <c r="B1155" s="127" t="s">
        <v>88</v>
      </c>
      <c r="C1155" s="9" t="s">
        <v>59</v>
      </c>
      <c r="D1155" s="129"/>
      <c r="E1155" s="559">
        <f>E1153</f>
        <v>25.157948614361697</v>
      </c>
    </row>
    <row r="1156" spans="1:5" hidden="1" x14ac:dyDescent="0.25">
      <c r="A1156" s="317" t="s">
        <v>89</v>
      </c>
      <c r="B1156" s="127" t="s">
        <v>90</v>
      </c>
      <c r="C1156" s="9" t="s">
        <v>59</v>
      </c>
      <c r="D1156" s="129"/>
      <c r="E1156" s="560">
        <f>E1155*1.09</f>
        <v>27.422163989654251</v>
      </c>
    </row>
    <row r="1157" spans="1:5" hidden="1" x14ac:dyDescent="0.25">
      <c r="A1157" s="317" t="s">
        <v>91</v>
      </c>
      <c r="B1157" s="127" t="s">
        <v>92</v>
      </c>
      <c r="C1157" s="9" t="s">
        <v>59</v>
      </c>
      <c r="D1157" s="129"/>
      <c r="E1157" s="560">
        <f>E1064</f>
        <v>25.202317337765958</v>
      </c>
    </row>
    <row r="1158" spans="1:5" hidden="1" x14ac:dyDescent="0.25">
      <c r="A1158" s="317" t="s">
        <v>93</v>
      </c>
      <c r="B1158" s="127" t="s">
        <v>94</v>
      </c>
      <c r="C1158" s="126" t="s">
        <v>95</v>
      </c>
      <c r="D1158" s="129"/>
      <c r="E1158" s="560">
        <f>(E1153/E1157)*100-100</f>
        <v>-0.17605017352025243</v>
      </c>
    </row>
    <row r="1159" spans="1:5" hidden="1" x14ac:dyDescent="0.25">
      <c r="A1159" s="317" t="s">
        <v>96</v>
      </c>
      <c r="B1159" s="128" t="s">
        <v>97</v>
      </c>
      <c r="C1159" s="130" t="s">
        <v>98</v>
      </c>
      <c r="D1159" s="131"/>
      <c r="E1159" s="565">
        <v>0.98399999999999999</v>
      </c>
    </row>
    <row r="1160" spans="1:5" hidden="1" x14ac:dyDescent="0.25">
      <c r="A1160" s="317" t="s">
        <v>99</v>
      </c>
      <c r="B1160" s="128" t="s">
        <v>100</v>
      </c>
      <c r="C1160" s="125" t="s">
        <v>98</v>
      </c>
      <c r="D1160" s="62"/>
      <c r="E1160" s="565">
        <v>0.747</v>
      </c>
    </row>
    <row r="1161" spans="1:5" ht="15.75" hidden="1" thickBot="1" x14ac:dyDescent="0.3">
      <c r="A1161" s="22" t="s">
        <v>101</v>
      </c>
      <c r="B1161" s="23" t="s">
        <v>102</v>
      </c>
      <c r="C1161" s="318" t="s">
        <v>98</v>
      </c>
      <c r="D1161" s="319"/>
      <c r="E1161" s="562">
        <v>0</v>
      </c>
    </row>
    <row r="1162" spans="1:5" hidden="1" x14ac:dyDescent="0.25"/>
    <row r="1163" spans="1:5" hidden="1" x14ac:dyDescent="0.25"/>
    <row r="1164" spans="1:5" hidden="1" x14ac:dyDescent="0.25"/>
    <row r="1165" spans="1:5" hidden="1" x14ac:dyDescent="0.25">
      <c r="B1165" s="306"/>
    </row>
    <row r="1166" spans="1:5" hidden="1" x14ac:dyDescent="0.25">
      <c r="A1166" s="298"/>
      <c r="B1166" s="298"/>
      <c r="C1166" s="298"/>
      <c r="D1166" s="298"/>
      <c r="E1166" s="480"/>
    </row>
    <row r="1167" spans="1:5" hidden="1" x14ac:dyDescent="0.25">
      <c r="A1167" s="298"/>
      <c r="B1167" s="298"/>
      <c r="C1167" s="298"/>
      <c r="D1167" s="298"/>
      <c r="E1167" s="480"/>
    </row>
    <row r="1168" spans="1:5" hidden="1" x14ac:dyDescent="0.25"/>
    <row r="1169" spans="1:5" hidden="1" x14ac:dyDescent="0.25"/>
    <row r="1170" spans="1:5" hidden="1" x14ac:dyDescent="0.25"/>
    <row r="1171" spans="1:5" hidden="1" x14ac:dyDescent="0.25"/>
    <row r="1172" spans="1:5" hidden="1" x14ac:dyDescent="0.25"/>
    <row r="1173" spans="1:5" hidden="1" x14ac:dyDescent="0.25"/>
    <row r="1174" spans="1:5" hidden="1" x14ac:dyDescent="0.25"/>
    <row r="1175" spans="1:5" hidden="1" x14ac:dyDescent="0.25"/>
    <row r="1176" spans="1:5" hidden="1" x14ac:dyDescent="0.25"/>
    <row r="1177" spans="1:5" hidden="1" x14ac:dyDescent="0.25"/>
    <row r="1178" spans="1:5" hidden="1" x14ac:dyDescent="0.25"/>
    <row r="1179" spans="1:5" hidden="1" x14ac:dyDescent="0.25">
      <c r="B1179" t="s">
        <v>189</v>
      </c>
      <c r="C1179" t="s">
        <v>193</v>
      </c>
      <c r="D1179" s="146" t="s">
        <v>190</v>
      </c>
    </row>
    <row r="1180" spans="1:5" hidden="1" x14ac:dyDescent="0.25">
      <c r="C1180" s="153" t="s">
        <v>194</v>
      </c>
    </row>
    <row r="1181" spans="1:5" hidden="1" x14ac:dyDescent="0.25"/>
    <row r="1182" spans="1:5" hidden="1" x14ac:dyDescent="0.25"/>
    <row r="1183" spans="1:5" hidden="1" x14ac:dyDescent="0.25"/>
    <row r="1184" spans="1:5" hidden="1" x14ac:dyDescent="0.25">
      <c r="A1184" s="132" t="s">
        <v>0</v>
      </c>
      <c r="B1184" s="132"/>
      <c r="C1184" s="132"/>
      <c r="D1184" s="132"/>
      <c r="E1184" s="480" t="s">
        <v>107</v>
      </c>
    </row>
    <row r="1185" spans="1:5" hidden="1" x14ac:dyDescent="0.25">
      <c r="A1185" s="132" t="s">
        <v>1</v>
      </c>
      <c r="B1185" s="132"/>
      <c r="C1185" s="132"/>
      <c r="D1185" s="132" t="s">
        <v>178</v>
      </c>
      <c r="E1185" s="519"/>
    </row>
    <row r="1186" spans="1:5" hidden="1" x14ac:dyDescent="0.25">
      <c r="A1186" s="132" t="s">
        <v>2</v>
      </c>
      <c r="B1186" s="132"/>
      <c r="C1186" s="132"/>
      <c r="D1186" s="132" t="s">
        <v>167</v>
      </c>
      <c r="E1186" s="520"/>
    </row>
    <row r="1187" spans="1:5" hidden="1" x14ac:dyDescent="0.25">
      <c r="A1187" s="132" t="s">
        <v>3</v>
      </c>
      <c r="B1187" s="132"/>
      <c r="C1187" s="132"/>
      <c r="D1187" s="132" t="s">
        <v>168</v>
      </c>
      <c r="E1187" s="519"/>
    </row>
    <row r="1188" spans="1:5" hidden="1" x14ac:dyDescent="0.25">
      <c r="A1188" s="132" t="s">
        <v>4</v>
      </c>
      <c r="B1188" s="132"/>
      <c r="C1188" s="132"/>
      <c r="D1188" s="132" t="s">
        <v>169</v>
      </c>
      <c r="E1188" s="519"/>
    </row>
    <row r="1189" spans="1:5" hidden="1" x14ac:dyDescent="0.25">
      <c r="A1189" s="152" t="s">
        <v>192</v>
      </c>
      <c r="B1189" s="132"/>
      <c r="C1189" s="132"/>
      <c r="D1189" s="132"/>
      <c r="E1189" s="519"/>
    </row>
    <row r="1190" spans="1:5" hidden="1" x14ac:dyDescent="0.25">
      <c r="A1190" s="132" t="s">
        <v>5</v>
      </c>
      <c r="B1190" s="132"/>
      <c r="C1190" s="132"/>
      <c r="D1190" s="132" t="s">
        <v>170</v>
      </c>
      <c r="E1190" s="519"/>
    </row>
    <row r="1191" spans="1:5" hidden="1" x14ac:dyDescent="0.25">
      <c r="A1191" s="1"/>
      <c r="B1191" s="1"/>
      <c r="C1191" s="1"/>
      <c r="D1191" s="1"/>
      <c r="E1191" s="463"/>
    </row>
    <row r="1192" spans="1:5" ht="15.75" hidden="1" x14ac:dyDescent="0.25">
      <c r="A1192" s="141"/>
      <c r="B1192" s="141" t="s">
        <v>289</v>
      </c>
      <c r="C1192" s="2"/>
      <c r="D1192" s="2"/>
    </row>
    <row r="1193" spans="1:5" ht="15.75" hidden="1" x14ac:dyDescent="0.25">
      <c r="A1193" s="141"/>
      <c r="B1193" s="141"/>
      <c r="C1193" s="328">
        <v>41872</v>
      </c>
      <c r="D1193" s="2"/>
    </row>
    <row r="1194" spans="1:5" ht="15.75" hidden="1" x14ac:dyDescent="0.25">
      <c r="A1194" s="141"/>
      <c r="B1194" s="141"/>
      <c r="C1194" s="151" t="s">
        <v>191</v>
      </c>
      <c r="D1194" s="2"/>
    </row>
    <row r="1195" spans="1:5" hidden="1" x14ac:dyDescent="0.25">
      <c r="A1195" s="2" t="s">
        <v>6</v>
      </c>
      <c r="B1195" s="2"/>
      <c r="C1195" s="2"/>
      <c r="D1195" s="2"/>
      <c r="E1195" s="522"/>
    </row>
    <row r="1196" spans="1:5" hidden="1" x14ac:dyDescent="0.25">
      <c r="A1196" s="1" t="s">
        <v>260</v>
      </c>
      <c r="B1196" s="1"/>
      <c r="C1196" s="1"/>
      <c r="D1196" s="1"/>
      <c r="E1196" s="463"/>
    </row>
    <row r="1197" spans="1:5" hidden="1" x14ac:dyDescent="0.25">
      <c r="A1197" s="1" t="s">
        <v>7</v>
      </c>
      <c r="B1197" s="1"/>
      <c r="C1197" s="1"/>
      <c r="D1197" s="1"/>
      <c r="E1197" s="463"/>
    </row>
    <row r="1198" spans="1:5" hidden="1" x14ac:dyDescent="0.25">
      <c r="A1198" s="326" t="s">
        <v>281</v>
      </c>
      <c r="B1198" s="326"/>
      <c r="C1198" s="326"/>
      <c r="D1198" s="326"/>
      <c r="E1198" s="564"/>
    </row>
    <row r="1199" spans="1:5" hidden="1" x14ac:dyDescent="0.25">
      <c r="A1199" s="238" t="s">
        <v>8</v>
      </c>
      <c r="B1199" s="239" t="s">
        <v>9</v>
      </c>
      <c r="C1199" s="239" t="s">
        <v>10</v>
      </c>
      <c r="D1199" s="239" t="s">
        <v>11</v>
      </c>
      <c r="E1199" s="543" t="s">
        <v>12</v>
      </c>
    </row>
    <row r="1200" spans="1:5" hidden="1" x14ac:dyDescent="0.25">
      <c r="A1200" s="242">
        <v>1</v>
      </c>
      <c r="B1200" s="24">
        <v>2</v>
      </c>
      <c r="C1200" s="24">
        <v>3</v>
      </c>
      <c r="D1200" s="24">
        <v>4</v>
      </c>
      <c r="E1200" s="544">
        <v>5</v>
      </c>
    </row>
    <row r="1201" spans="1:6" hidden="1" x14ac:dyDescent="0.25">
      <c r="A1201" s="370" t="s">
        <v>13</v>
      </c>
      <c r="B1201" s="371" t="s">
        <v>14</v>
      </c>
      <c r="C1201" s="26"/>
      <c r="D1201" s="26"/>
      <c r="E1201" s="545"/>
    </row>
    <row r="1202" spans="1:6" ht="17.25" hidden="1" x14ac:dyDescent="0.3">
      <c r="A1202" s="374" t="s">
        <v>15</v>
      </c>
      <c r="B1202" s="380" t="s">
        <v>183</v>
      </c>
      <c r="C1202" s="360" t="s">
        <v>59</v>
      </c>
      <c r="D1202" s="308" t="s">
        <v>179</v>
      </c>
      <c r="E1202" s="546">
        <f>E1204+E1206</f>
        <v>18.886372542372879</v>
      </c>
    </row>
    <row r="1203" spans="1:6" s="333" customFormat="1" ht="15.75" hidden="1" x14ac:dyDescent="0.25">
      <c r="A1203" s="375"/>
      <c r="B1203" s="381"/>
      <c r="C1203" s="369" t="s">
        <v>292</v>
      </c>
      <c r="D1203" s="332"/>
      <c r="E1203" s="566">
        <f>E1202/3.4528</f>
        <v>5.469871565793814</v>
      </c>
      <c r="F1203" s="229"/>
    </row>
    <row r="1204" spans="1:6" ht="18.75" hidden="1" x14ac:dyDescent="0.35">
      <c r="A1204" s="376" t="s">
        <v>16</v>
      </c>
      <c r="B1204" s="38" t="s">
        <v>18</v>
      </c>
      <c r="C1204" s="346" t="s">
        <v>59</v>
      </c>
      <c r="D1204" s="334" t="s">
        <v>171</v>
      </c>
      <c r="E1204" s="567">
        <v>4.57</v>
      </c>
    </row>
    <row r="1205" spans="1:6" ht="15.75" hidden="1" x14ac:dyDescent="0.25">
      <c r="A1205" s="377"/>
      <c r="B1205" s="382"/>
      <c r="C1205" s="342" t="s">
        <v>292</v>
      </c>
      <c r="D1205" s="336"/>
      <c r="E1205" s="568">
        <f>E1204/3.4528</f>
        <v>1.3235634847080631</v>
      </c>
    </row>
    <row r="1206" spans="1:6" ht="33" hidden="1" x14ac:dyDescent="0.25">
      <c r="A1206" s="378" t="s">
        <v>17</v>
      </c>
      <c r="B1206" s="383" t="s">
        <v>19</v>
      </c>
      <c r="C1206" s="331" t="s">
        <v>59</v>
      </c>
      <c r="D1206" s="338" t="s">
        <v>278</v>
      </c>
      <c r="E1206" s="569">
        <f>0.29+((4325*E1212+226*E1220+106.1*E1216+509*E1224)/(44.84*1000))/10</f>
        <v>14.316372542372878</v>
      </c>
    </row>
    <row r="1207" spans="1:6" hidden="1" x14ac:dyDescent="0.25">
      <c r="A1207" s="379"/>
      <c r="B1207" s="384"/>
      <c r="C1207" s="342" t="s">
        <v>292</v>
      </c>
      <c r="D1207" s="339"/>
      <c r="E1207" s="570">
        <f>E1206/3.4528</f>
        <v>4.14630808108575</v>
      </c>
    </row>
    <row r="1208" spans="1:6" hidden="1" x14ac:dyDescent="0.25">
      <c r="A1208" s="372" t="s">
        <v>21</v>
      </c>
      <c r="B1208" s="373" t="s">
        <v>22</v>
      </c>
      <c r="C1208" s="31"/>
      <c r="D1208" s="337"/>
      <c r="E1208" s="548"/>
    </row>
    <row r="1209" spans="1:6" hidden="1" x14ac:dyDescent="0.25">
      <c r="A1209" s="311" t="s">
        <v>23</v>
      </c>
      <c r="B1209" s="48" t="s">
        <v>24</v>
      </c>
      <c r="C1209" s="49"/>
      <c r="D1209" s="49"/>
      <c r="E1209" s="549"/>
    </row>
    <row r="1210" spans="1:6" hidden="1" x14ac:dyDescent="0.25">
      <c r="A1210" s="309" t="s">
        <v>25</v>
      </c>
      <c r="B1210" s="24" t="s">
        <v>26</v>
      </c>
      <c r="C1210" s="32" t="s">
        <v>41</v>
      </c>
      <c r="D1210" s="24"/>
      <c r="E1210" s="550">
        <v>1013.72</v>
      </c>
    </row>
    <row r="1211" spans="1:6" hidden="1" x14ac:dyDescent="0.25">
      <c r="A1211" s="309" t="s">
        <v>27</v>
      </c>
      <c r="B1211" s="24" t="s">
        <v>28</v>
      </c>
      <c r="C1211" s="5" t="s">
        <v>41</v>
      </c>
      <c r="D1211" s="24"/>
      <c r="E1211" s="544">
        <v>313.23</v>
      </c>
    </row>
    <row r="1212" spans="1:6" hidden="1" x14ac:dyDescent="0.25">
      <c r="A1212" s="309" t="s">
        <v>29</v>
      </c>
      <c r="B1212" s="38" t="s">
        <v>30</v>
      </c>
      <c r="C1212" s="39" t="s">
        <v>41</v>
      </c>
      <c r="D1212" s="24"/>
      <c r="E1212" s="551">
        <f>E1210+E1211</f>
        <v>1326.95</v>
      </c>
    </row>
    <row r="1213" spans="1:6" hidden="1" x14ac:dyDescent="0.25">
      <c r="A1213" s="312" t="s">
        <v>31</v>
      </c>
      <c r="B1213" s="41" t="s">
        <v>265</v>
      </c>
      <c r="C1213" s="42"/>
      <c r="D1213" s="42"/>
      <c r="E1213" s="552"/>
    </row>
    <row r="1214" spans="1:6" hidden="1" x14ac:dyDescent="0.25">
      <c r="A1214" s="309" t="s">
        <v>35</v>
      </c>
      <c r="B1214" s="24" t="s">
        <v>26</v>
      </c>
      <c r="C1214" s="40" t="s">
        <v>33</v>
      </c>
      <c r="D1214" s="24"/>
      <c r="E1214" s="550"/>
    </row>
    <row r="1215" spans="1:6" hidden="1" x14ac:dyDescent="0.25">
      <c r="A1215" s="309" t="s">
        <v>36</v>
      </c>
      <c r="B1215" s="24" t="s">
        <v>28</v>
      </c>
      <c r="C1215" s="4" t="s">
        <v>33</v>
      </c>
      <c r="D1215" s="24"/>
      <c r="E1215" s="550"/>
    </row>
    <row r="1216" spans="1:6" hidden="1" x14ac:dyDescent="0.25">
      <c r="A1216" s="309" t="s">
        <v>37</v>
      </c>
      <c r="B1216" s="24" t="s">
        <v>30</v>
      </c>
      <c r="C1216" s="43" t="s">
        <v>33</v>
      </c>
      <c r="D1216" s="24"/>
      <c r="E1216" s="551">
        <v>408.98</v>
      </c>
    </row>
    <row r="1217" spans="1:5" hidden="1" x14ac:dyDescent="0.25">
      <c r="A1217" s="312" t="s">
        <v>31</v>
      </c>
      <c r="B1217" s="41" t="s">
        <v>266</v>
      </c>
      <c r="C1217" s="42"/>
      <c r="D1217" s="42"/>
      <c r="E1217" s="552"/>
    </row>
    <row r="1218" spans="1:5" hidden="1" x14ac:dyDescent="0.25">
      <c r="A1218" s="309" t="s">
        <v>35</v>
      </c>
      <c r="B1218" s="24" t="s">
        <v>26</v>
      </c>
      <c r="C1218" s="40" t="s">
        <v>33</v>
      </c>
      <c r="D1218" s="24"/>
      <c r="E1218" s="550"/>
    </row>
    <row r="1219" spans="1:5" hidden="1" x14ac:dyDescent="0.25">
      <c r="A1219" s="309" t="s">
        <v>36</v>
      </c>
      <c r="B1219" s="24" t="s">
        <v>28</v>
      </c>
      <c r="C1219" s="4" t="s">
        <v>33</v>
      </c>
      <c r="D1219" s="24"/>
      <c r="E1219" s="550"/>
    </row>
    <row r="1220" spans="1:5" hidden="1" x14ac:dyDescent="0.25">
      <c r="A1220" s="309" t="s">
        <v>37</v>
      </c>
      <c r="B1220" s="24" t="s">
        <v>30</v>
      </c>
      <c r="C1220" s="43" t="s">
        <v>33</v>
      </c>
      <c r="D1220" s="24"/>
      <c r="E1220" s="551">
        <v>571.25</v>
      </c>
    </row>
    <row r="1221" spans="1:5" hidden="1" x14ac:dyDescent="0.25">
      <c r="A1221" s="313" t="s">
        <v>34</v>
      </c>
      <c r="B1221" s="45" t="s">
        <v>103</v>
      </c>
      <c r="C1221" s="46"/>
      <c r="D1221" s="46"/>
      <c r="E1221" s="553"/>
    </row>
    <row r="1222" spans="1:5" hidden="1" x14ac:dyDescent="0.25">
      <c r="A1222" s="314" t="s">
        <v>38</v>
      </c>
      <c r="B1222" s="44" t="s">
        <v>26</v>
      </c>
      <c r="C1222" s="40" t="s">
        <v>33</v>
      </c>
      <c r="D1222" s="24"/>
      <c r="E1222" s="550">
        <f>Lapas3!D1090</f>
        <v>0</v>
      </c>
    </row>
    <row r="1223" spans="1:5" hidden="1" x14ac:dyDescent="0.25">
      <c r="A1223" s="314" t="s">
        <v>39</v>
      </c>
      <c r="B1223" s="24" t="s">
        <v>28</v>
      </c>
      <c r="C1223" s="4" t="s">
        <v>33</v>
      </c>
      <c r="D1223" s="24"/>
      <c r="E1223" s="544"/>
    </row>
    <row r="1224" spans="1:5" hidden="1" x14ac:dyDescent="0.25">
      <c r="A1224" s="21" t="s">
        <v>40</v>
      </c>
      <c r="B1224" s="38" t="s">
        <v>30</v>
      </c>
      <c r="C1224" s="43" t="s">
        <v>33</v>
      </c>
      <c r="D1224" s="24"/>
      <c r="E1224" s="551">
        <v>742.38</v>
      </c>
    </row>
    <row r="1225" spans="1:5" hidden="1" x14ac:dyDescent="0.25">
      <c r="A1225" s="315" t="s">
        <v>42</v>
      </c>
      <c r="B1225" s="51" t="s">
        <v>43</v>
      </c>
      <c r="C1225" s="52"/>
      <c r="D1225" s="52"/>
      <c r="E1225" s="554"/>
    </row>
    <row r="1226" spans="1:5" hidden="1" x14ac:dyDescent="0.25">
      <c r="A1226" s="242" t="s">
        <v>44</v>
      </c>
      <c r="B1226" s="24" t="s">
        <v>104</v>
      </c>
      <c r="C1226" s="24"/>
      <c r="D1226" s="24"/>
      <c r="E1226" s="555" t="s">
        <v>106</v>
      </c>
    </row>
    <row r="1227" spans="1:5" hidden="1" x14ac:dyDescent="0.25">
      <c r="A1227" s="242" t="s">
        <v>45</v>
      </c>
      <c r="B1227" s="24" t="s">
        <v>105</v>
      </c>
      <c r="C1227" s="11" t="s">
        <v>59</v>
      </c>
      <c r="D1227" s="24"/>
      <c r="E1227" s="544">
        <v>0</v>
      </c>
    </row>
    <row r="1228" spans="1:5" ht="17.25" hidden="1" x14ac:dyDescent="0.3">
      <c r="A1228" s="316" t="s">
        <v>46</v>
      </c>
      <c r="B1228" s="136" t="s">
        <v>172</v>
      </c>
      <c r="C1228" s="139" t="s">
        <v>59</v>
      </c>
      <c r="D1228" s="140" t="s">
        <v>181</v>
      </c>
      <c r="E1228" s="563">
        <f>E1229+E1230</f>
        <v>18.886372542372879</v>
      </c>
    </row>
    <row r="1229" spans="1:5" ht="18.75" hidden="1" x14ac:dyDescent="0.35">
      <c r="A1229" s="242" t="s">
        <v>48</v>
      </c>
      <c r="B1229" s="24" t="s">
        <v>49</v>
      </c>
      <c r="C1229" s="53" t="s">
        <v>59</v>
      </c>
      <c r="D1229" s="122" t="s">
        <v>173</v>
      </c>
      <c r="E1229" s="550">
        <f>E1204</f>
        <v>4.57</v>
      </c>
    </row>
    <row r="1230" spans="1:5" ht="33" hidden="1" x14ac:dyDescent="0.25">
      <c r="A1230" s="310" t="s">
        <v>50</v>
      </c>
      <c r="B1230" s="35" t="s">
        <v>51</v>
      </c>
      <c r="C1230" s="27" t="s">
        <v>59</v>
      </c>
      <c r="D1230" s="54" t="s">
        <v>278</v>
      </c>
      <c r="E1230" s="557">
        <f>E1206</f>
        <v>14.316372542372878</v>
      </c>
    </row>
    <row r="1231" spans="1:5" hidden="1" x14ac:dyDescent="0.25">
      <c r="A1231" s="242" t="s">
        <v>52</v>
      </c>
      <c r="B1231" s="55" t="s">
        <v>53</v>
      </c>
      <c r="C1231" s="33"/>
      <c r="D1231" s="33"/>
      <c r="E1231" s="548"/>
    </row>
    <row r="1232" spans="1:5" hidden="1" x14ac:dyDescent="0.25">
      <c r="A1232" s="242" t="s">
        <v>54</v>
      </c>
      <c r="B1232" s="24" t="s">
        <v>55</v>
      </c>
      <c r="C1232" s="11" t="s">
        <v>56</v>
      </c>
      <c r="D1232" s="24"/>
      <c r="E1232" s="544">
        <v>33.340000000000003</v>
      </c>
    </row>
    <row r="1233" spans="1:5" hidden="1" x14ac:dyDescent="0.25">
      <c r="A1233" s="242" t="s">
        <v>57</v>
      </c>
      <c r="B1233" s="24" t="s">
        <v>58</v>
      </c>
      <c r="C1233" s="11" t="s">
        <v>59</v>
      </c>
      <c r="D1233" s="56" t="s">
        <v>47</v>
      </c>
      <c r="E1233" s="550">
        <f>E1230</f>
        <v>14.316372542372878</v>
      </c>
    </row>
    <row r="1234" spans="1:5" hidden="1" x14ac:dyDescent="0.25">
      <c r="A1234" s="307" t="s">
        <v>60</v>
      </c>
      <c r="B1234" s="866" t="s">
        <v>61</v>
      </c>
      <c r="C1234" s="867"/>
      <c r="D1234" s="867"/>
      <c r="E1234" s="868"/>
    </row>
    <row r="1235" spans="1:5" ht="17.25" hidden="1" x14ac:dyDescent="0.3">
      <c r="A1235" s="353" t="s">
        <v>62</v>
      </c>
      <c r="B1235" s="343" t="s">
        <v>182</v>
      </c>
      <c r="C1235" s="344" t="s">
        <v>59</v>
      </c>
      <c r="D1235" s="340" t="s">
        <v>180</v>
      </c>
      <c r="E1235" s="571">
        <f>E1237+E1239</f>
        <v>6.4866313086909475</v>
      </c>
    </row>
    <row r="1236" spans="1:5" ht="15.75" hidden="1" x14ac:dyDescent="0.25">
      <c r="A1236" s="345"/>
      <c r="B1236" s="354"/>
      <c r="C1236" s="342" t="s">
        <v>292</v>
      </c>
      <c r="D1236" s="341"/>
      <c r="E1236" s="566">
        <f>E1235/3.4528</f>
        <v>1.8786582798572022</v>
      </c>
    </row>
    <row r="1237" spans="1:5" ht="18.75" hidden="1" x14ac:dyDescent="0.35">
      <c r="A1237" s="349" t="s">
        <v>63</v>
      </c>
      <c r="B1237" s="355" t="s">
        <v>64</v>
      </c>
      <c r="C1237" s="346" t="s">
        <v>59</v>
      </c>
      <c r="D1237" s="334" t="s">
        <v>174</v>
      </c>
      <c r="E1237" s="548">
        <v>2.44</v>
      </c>
    </row>
    <row r="1238" spans="1:5" ht="15.75" hidden="1" x14ac:dyDescent="0.25">
      <c r="A1238" s="350"/>
      <c r="B1238" s="356"/>
      <c r="C1238" s="342" t="s">
        <v>292</v>
      </c>
      <c r="D1238" s="335"/>
      <c r="E1238" s="566">
        <f>E1237/3.4528</f>
        <v>0.70667284522706209</v>
      </c>
    </row>
    <row r="1239" spans="1:5" ht="18.75" hidden="1" x14ac:dyDescent="0.25">
      <c r="A1239" s="349" t="s">
        <v>65</v>
      </c>
      <c r="B1239" s="357" t="s">
        <v>66</v>
      </c>
      <c r="C1239" s="346" t="s">
        <v>59</v>
      </c>
      <c r="D1239" s="351" t="s">
        <v>279</v>
      </c>
      <c r="E1239" s="572">
        <f>0.41+(7.24*E1202/37.6)</f>
        <v>4.046631308690948</v>
      </c>
    </row>
    <row r="1240" spans="1:5" ht="15.75" hidden="1" x14ac:dyDescent="0.25">
      <c r="A1240" s="350"/>
      <c r="B1240" s="358"/>
      <c r="C1240" s="342" t="s">
        <v>292</v>
      </c>
      <c r="D1240" s="352"/>
      <c r="E1240" s="566">
        <f>E1239/3.4528</f>
        <v>1.1719854346301402</v>
      </c>
    </row>
    <row r="1241" spans="1:5" hidden="1" x14ac:dyDescent="0.25">
      <c r="A1241" s="347" t="s">
        <v>67</v>
      </c>
      <c r="B1241" s="348" t="s">
        <v>68</v>
      </c>
      <c r="C1241" s="9"/>
      <c r="D1241" s="44"/>
      <c r="E1241" s="544"/>
    </row>
    <row r="1242" spans="1:5" hidden="1" x14ac:dyDescent="0.25">
      <c r="A1242" s="12" t="s">
        <v>69</v>
      </c>
      <c r="B1242" s="17" t="s">
        <v>55</v>
      </c>
      <c r="C1242" s="10" t="s">
        <v>56</v>
      </c>
      <c r="D1242" s="24"/>
      <c r="E1242" s="550">
        <v>16.100000000000001</v>
      </c>
    </row>
    <row r="1243" spans="1:5" ht="18.75" hidden="1" x14ac:dyDescent="0.35">
      <c r="A1243" s="12" t="s">
        <v>70</v>
      </c>
      <c r="B1243" s="17" t="s">
        <v>71</v>
      </c>
      <c r="C1243" s="11" t="s">
        <v>59</v>
      </c>
      <c r="D1243" s="122" t="s">
        <v>176</v>
      </c>
      <c r="E1243" s="550">
        <f>E1239</f>
        <v>4.046631308690948</v>
      </c>
    </row>
    <row r="1244" spans="1:5" hidden="1" x14ac:dyDescent="0.25">
      <c r="A1244" s="317" t="s">
        <v>72</v>
      </c>
      <c r="B1244" s="869" t="s">
        <v>73</v>
      </c>
      <c r="C1244" s="870"/>
      <c r="D1244" s="870"/>
      <c r="E1244" s="871"/>
    </row>
    <row r="1245" spans="1:5" hidden="1" x14ac:dyDescent="0.25">
      <c r="A1245" s="864" t="s">
        <v>79</v>
      </c>
      <c r="B1245" s="18" t="s">
        <v>74</v>
      </c>
      <c r="C1245" s="11" t="s">
        <v>59</v>
      </c>
      <c r="D1245" s="124" t="s">
        <v>106</v>
      </c>
      <c r="E1245" s="558">
        <v>0.31</v>
      </c>
    </row>
    <row r="1246" spans="1:5" hidden="1" x14ac:dyDescent="0.25">
      <c r="A1246" s="865"/>
      <c r="B1246" s="19" t="s">
        <v>75</v>
      </c>
      <c r="C1246" s="53" t="s">
        <v>76</v>
      </c>
      <c r="D1246" s="124" t="s">
        <v>106</v>
      </c>
      <c r="E1246" s="558">
        <v>2.34</v>
      </c>
    </row>
    <row r="1247" spans="1:5" ht="15.75" hidden="1" thickBot="1" x14ac:dyDescent="0.3">
      <c r="A1247" s="865"/>
      <c r="B1247" s="19" t="s">
        <v>77</v>
      </c>
      <c r="C1247" s="123" t="s">
        <v>78</v>
      </c>
      <c r="D1247" s="124" t="s">
        <v>106</v>
      </c>
      <c r="E1247" s="558">
        <v>46.34</v>
      </c>
    </row>
    <row r="1248" spans="1:5" hidden="1" x14ac:dyDescent="0.25">
      <c r="A1248" s="317" t="s">
        <v>80</v>
      </c>
      <c r="B1248" s="127" t="s">
        <v>81</v>
      </c>
      <c r="C1248" s="11" t="s">
        <v>59</v>
      </c>
      <c r="D1248" s="62"/>
      <c r="E1248" s="558">
        <v>-7.0000000000000007E-2</v>
      </c>
    </row>
    <row r="1249" spans="1:6" hidden="1" x14ac:dyDescent="0.25">
      <c r="A1249" s="317" t="s">
        <v>82</v>
      </c>
      <c r="B1249" s="127" t="s">
        <v>83</v>
      </c>
      <c r="C1249" s="11" t="s">
        <v>59</v>
      </c>
      <c r="D1249" s="62"/>
      <c r="E1249" s="558">
        <v>-0.14000000000000001</v>
      </c>
    </row>
    <row r="1250" spans="1:6" hidden="1" x14ac:dyDescent="0.25">
      <c r="A1250" s="366" t="s">
        <v>84</v>
      </c>
      <c r="B1250" s="361" t="s">
        <v>267</v>
      </c>
      <c r="C1250" s="359" t="s">
        <v>59</v>
      </c>
      <c r="D1250" s="62"/>
      <c r="E1250" s="559">
        <v>25.48</v>
      </c>
      <c r="F1250" s="266">
        <f>E1250/3.4528</f>
        <v>7.3795180722891569</v>
      </c>
    </row>
    <row r="1251" spans="1:6" hidden="1" x14ac:dyDescent="0.25">
      <c r="A1251" s="364"/>
      <c r="B1251" s="363"/>
      <c r="C1251" s="342" t="s">
        <v>292</v>
      </c>
      <c r="D1251" s="62"/>
      <c r="E1251" s="573">
        <f>E1250/3.4528</f>
        <v>7.3795180722891569</v>
      </c>
      <c r="F1251" s="266"/>
    </row>
    <row r="1252" spans="1:6" hidden="1" x14ac:dyDescent="0.25">
      <c r="A1252" s="365" t="s">
        <v>85</v>
      </c>
      <c r="B1252" s="127" t="s">
        <v>86</v>
      </c>
      <c r="C1252" s="359" t="s">
        <v>59</v>
      </c>
      <c r="D1252" s="62"/>
      <c r="E1252" s="558">
        <v>0</v>
      </c>
      <c r="F1252" s="266">
        <f>E1252/3.4528</f>
        <v>0</v>
      </c>
    </row>
    <row r="1253" spans="1:6" hidden="1" x14ac:dyDescent="0.25">
      <c r="A1253" s="366" t="s">
        <v>87</v>
      </c>
      <c r="B1253" s="361" t="s">
        <v>88</v>
      </c>
      <c r="C1253" s="360" t="s">
        <v>59</v>
      </c>
      <c r="D1253" s="129"/>
      <c r="E1253" s="559">
        <f>E1250</f>
        <v>25.48</v>
      </c>
      <c r="F1253" s="266">
        <f>E1253/3.4528</f>
        <v>7.3795180722891569</v>
      </c>
    </row>
    <row r="1254" spans="1:6" hidden="1" x14ac:dyDescent="0.25">
      <c r="A1254" s="364"/>
      <c r="B1254" s="363"/>
      <c r="C1254" s="342" t="s">
        <v>292</v>
      </c>
      <c r="D1254" s="129"/>
      <c r="E1254" s="573">
        <f>E1253/3.4528</f>
        <v>7.3795180722891569</v>
      </c>
      <c r="F1254" s="266"/>
    </row>
    <row r="1255" spans="1:6" hidden="1" x14ac:dyDescent="0.25">
      <c r="A1255" s="366" t="s">
        <v>89</v>
      </c>
      <c r="B1255" s="361" t="s">
        <v>90</v>
      </c>
      <c r="C1255" s="360" t="s">
        <v>59</v>
      </c>
      <c r="D1255" s="129"/>
      <c r="E1255" s="560">
        <f>E1253*1.09</f>
        <v>27.773200000000003</v>
      </c>
      <c r="F1255" s="266">
        <f>E1255/3.4528</f>
        <v>8.043674698795181</v>
      </c>
    </row>
    <row r="1256" spans="1:6" hidden="1" x14ac:dyDescent="0.25">
      <c r="A1256" s="367"/>
      <c r="B1256" s="368"/>
      <c r="C1256" s="342" t="s">
        <v>292</v>
      </c>
      <c r="D1256" s="129"/>
      <c r="E1256" s="573">
        <f>E1255/3.4528</f>
        <v>8.043674698795181</v>
      </c>
      <c r="F1256" s="266"/>
    </row>
    <row r="1257" spans="1:6" hidden="1" x14ac:dyDescent="0.25">
      <c r="A1257" s="366" t="s">
        <v>91</v>
      </c>
      <c r="B1257" s="361" t="s">
        <v>92</v>
      </c>
      <c r="C1257" s="360" t="s">
        <v>59</v>
      </c>
      <c r="D1257" s="129"/>
      <c r="E1257" s="560">
        <f>E1155</f>
        <v>25.157948614361697</v>
      </c>
      <c r="F1257" s="266">
        <f>E1257/3.4528</f>
        <v>7.28624554401115</v>
      </c>
    </row>
    <row r="1258" spans="1:6" hidden="1" x14ac:dyDescent="0.25">
      <c r="A1258" s="364"/>
      <c r="B1258" s="363"/>
      <c r="C1258" s="342" t="s">
        <v>292</v>
      </c>
      <c r="D1258" s="129"/>
      <c r="E1258" s="573">
        <f>E1257/3.4528</f>
        <v>7.28624554401115</v>
      </c>
      <c r="F1258" s="266"/>
    </row>
    <row r="1259" spans="1:6" hidden="1" x14ac:dyDescent="0.25">
      <c r="A1259" s="362" t="s">
        <v>93</v>
      </c>
      <c r="B1259" s="363" t="s">
        <v>94</v>
      </c>
      <c r="C1259" s="126" t="s">
        <v>95</v>
      </c>
      <c r="D1259" s="129"/>
      <c r="E1259" s="560">
        <f>(E1250/E1257)*100-100</f>
        <v>1.2801178290604156</v>
      </c>
    </row>
    <row r="1260" spans="1:6" hidden="1" x14ac:dyDescent="0.25">
      <c r="A1260" s="317" t="s">
        <v>96</v>
      </c>
      <c r="B1260" s="128" t="s">
        <v>97</v>
      </c>
      <c r="C1260" s="130" t="s">
        <v>98</v>
      </c>
      <c r="D1260" s="131"/>
      <c r="E1260" s="565">
        <v>0.98199999999999998</v>
      </c>
    </row>
    <row r="1261" spans="1:6" hidden="1" x14ac:dyDescent="0.25">
      <c r="A1261" s="317" t="s">
        <v>99</v>
      </c>
      <c r="B1261" s="128" t="s">
        <v>100</v>
      </c>
      <c r="C1261" s="125" t="s">
        <v>98</v>
      </c>
      <c r="D1261" s="62"/>
      <c r="E1261" s="565">
        <v>0.68200000000000005</v>
      </c>
    </row>
    <row r="1262" spans="1:6" ht="15.75" hidden="1" thickBot="1" x14ac:dyDescent="0.3">
      <c r="A1262" s="22" t="s">
        <v>101</v>
      </c>
      <c r="B1262" s="23" t="s">
        <v>102</v>
      </c>
      <c r="C1262" s="318" t="s">
        <v>98</v>
      </c>
      <c r="D1262" s="319"/>
      <c r="E1262" s="562">
        <v>0</v>
      </c>
    </row>
    <row r="1263" spans="1:6" hidden="1" x14ac:dyDescent="0.25"/>
    <row r="1264" spans="1:6" hidden="1" x14ac:dyDescent="0.25"/>
    <row r="1265" spans="1:5" hidden="1" x14ac:dyDescent="0.25">
      <c r="B1265" s="329" t="s">
        <v>291</v>
      </c>
      <c r="C1265" s="330"/>
      <c r="D1265" s="330"/>
    </row>
    <row r="1266" spans="1:5" hidden="1" x14ac:dyDescent="0.25"/>
    <row r="1267" spans="1:5" hidden="1" x14ac:dyDescent="0.25"/>
    <row r="1268" spans="1:5" hidden="1" x14ac:dyDescent="0.25"/>
    <row r="1269" spans="1:5" hidden="1" x14ac:dyDescent="0.25"/>
    <row r="1270" spans="1:5" hidden="1" x14ac:dyDescent="0.25"/>
    <row r="1271" spans="1:5" hidden="1" x14ac:dyDescent="0.25">
      <c r="B1271" t="s">
        <v>189</v>
      </c>
      <c r="C1271" t="s">
        <v>193</v>
      </c>
      <c r="D1271" s="146" t="s">
        <v>190</v>
      </c>
    </row>
    <row r="1272" spans="1:5" hidden="1" x14ac:dyDescent="0.25">
      <c r="C1272" s="153" t="s">
        <v>194</v>
      </c>
    </row>
    <row r="1273" spans="1:5" hidden="1" x14ac:dyDescent="0.25"/>
    <row r="1274" spans="1:5" hidden="1" x14ac:dyDescent="0.25">
      <c r="A1274" s="132" t="s">
        <v>0</v>
      </c>
      <c r="B1274" s="132"/>
      <c r="C1274" s="132"/>
      <c r="D1274" s="132"/>
      <c r="E1274" s="480" t="s">
        <v>107</v>
      </c>
    </row>
    <row r="1275" spans="1:5" hidden="1" x14ac:dyDescent="0.25">
      <c r="A1275" s="132" t="s">
        <v>1</v>
      </c>
      <c r="B1275" s="132"/>
      <c r="C1275" s="132"/>
      <c r="D1275" s="132" t="s">
        <v>178</v>
      </c>
      <c r="E1275" s="519"/>
    </row>
    <row r="1276" spans="1:5" hidden="1" x14ac:dyDescent="0.25">
      <c r="A1276" s="132" t="s">
        <v>2</v>
      </c>
      <c r="B1276" s="132"/>
      <c r="C1276" s="132"/>
      <c r="D1276" s="132" t="s">
        <v>167</v>
      </c>
      <c r="E1276" s="520"/>
    </row>
    <row r="1277" spans="1:5" hidden="1" x14ac:dyDescent="0.25">
      <c r="A1277" s="132" t="s">
        <v>3</v>
      </c>
      <c r="B1277" s="132"/>
      <c r="C1277" s="132"/>
      <c r="D1277" s="132" t="s">
        <v>168</v>
      </c>
      <c r="E1277" s="519"/>
    </row>
    <row r="1278" spans="1:5" hidden="1" x14ac:dyDescent="0.25">
      <c r="A1278" s="132" t="s">
        <v>4</v>
      </c>
      <c r="B1278" s="132"/>
      <c r="C1278" s="132"/>
      <c r="D1278" s="132" t="s">
        <v>169</v>
      </c>
      <c r="E1278" s="519"/>
    </row>
    <row r="1279" spans="1:5" hidden="1" x14ac:dyDescent="0.25">
      <c r="A1279" s="152" t="s">
        <v>192</v>
      </c>
      <c r="B1279" s="132"/>
      <c r="C1279" s="132"/>
      <c r="D1279" s="132"/>
      <c r="E1279" s="519"/>
    </row>
    <row r="1280" spans="1:5" hidden="1" x14ac:dyDescent="0.25">
      <c r="A1280" s="132" t="s">
        <v>5</v>
      </c>
      <c r="B1280" s="132"/>
      <c r="C1280" s="132"/>
      <c r="D1280" s="132" t="s">
        <v>170</v>
      </c>
      <c r="E1280" s="519"/>
    </row>
    <row r="1281" spans="1:5" hidden="1" x14ac:dyDescent="0.25">
      <c r="A1281" s="1"/>
      <c r="B1281" s="1"/>
      <c r="C1281" s="1"/>
      <c r="D1281" s="1"/>
      <c r="E1281" s="463"/>
    </row>
    <row r="1282" spans="1:5" ht="15.75" hidden="1" x14ac:dyDescent="0.25">
      <c r="A1282" s="141" t="s">
        <v>296</v>
      </c>
      <c r="B1282" s="141" t="s">
        <v>294</v>
      </c>
      <c r="C1282" s="2"/>
      <c r="D1282" s="2"/>
    </row>
    <row r="1283" spans="1:5" ht="15.75" hidden="1" x14ac:dyDescent="0.25">
      <c r="A1283" s="141"/>
      <c r="B1283" s="141"/>
      <c r="C1283" s="328">
        <v>41904</v>
      </c>
      <c r="D1283" s="2"/>
    </row>
    <row r="1284" spans="1:5" ht="15.75" hidden="1" x14ac:dyDescent="0.25">
      <c r="A1284" s="141"/>
      <c r="B1284" s="141"/>
      <c r="C1284" s="151" t="s">
        <v>191</v>
      </c>
      <c r="D1284" s="2"/>
    </row>
    <row r="1285" spans="1:5" hidden="1" x14ac:dyDescent="0.25">
      <c r="A1285" s="2" t="s">
        <v>6</v>
      </c>
      <c r="B1285" s="2"/>
      <c r="C1285" s="2"/>
      <c r="D1285" s="2"/>
      <c r="E1285" s="522"/>
    </row>
    <row r="1286" spans="1:5" hidden="1" x14ac:dyDescent="0.25">
      <c r="A1286" s="1" t="s">
        <v>260</v>
      </c>
      <c r="B1286" s="1"/>
      <c r="C1286" s="1"/>
      <c r="D1286" s="1"/>
      <c r="E1286" s="463"/>
    </row>
    <row r="1287" spans="1:5" hidden="1" x14ac:dyDescent="0.25">
      <c r="A1287" s="1" t="s">
        <v>7</v>
      </c>
      <c r="B1287" s="1"/>
      <c r="C1287" s="1"/>
      <c r="D1287" s="1"/>
      <c r="E1287" s="463"/>
    </row>
    <row r="1288" spans="1:5" hidden="1" x14ac:dyDescent="0.25">
      <c r="A1288" s="326" t="s">
        <v>281</v>
      </c>
      <c r="B1288" s="326"/>
      <c r="C1288" s="326"/>
      <c r="D1288" s="326"/>
      <c r="E1288" s="564"/>
    </row>
    <row r="1289" spans="1:5" hidden="1" x14ac:dyDescent="0.25">
      <c r="A1289" s="238" t="s">
        <v>8</v>
      </c>
      <c r="B1289" s="239" t="s">
        <v>9</v>
      </c>
      <c r="C1289" s="239" t="s">
        <v>10</v>
      </c>
      <c r="D1289" s="239" t="s">
        <v>11</v>
      </c>
      <c r="E1289" s="543" t="s">
        <v>12</v>
      </c>
    </row>
    <row r="1290" spans="1:5" hidden="1" x14ac:dyDescent="0.25">
      <c r="A1290" s="242">
        <v>1</v>
      </c>
      <c r="B1290" s="24">
        <v>2</v>
      </c>
      <c r="C1290" s="24">
        <v>3</v>
      </c>
      <c r="D1290" s="24">
        <v>4</v>
      </c>
      <c r="E1290" s="544">
        <v>5</v>
      </c>
    </row>
    <row r="1291" spans="1:5" hidden="1" x14ac:dyDescent="0.25">
      <c r="A1291" s="370" t="s">
        <v>13</v>
      </c>
      <c r="B1291" s="371" t="s">
        <v>14</v>
      </c>
      <c r="C1291" s="26"/>
      <c r="D1291" s="26"/>
      <c r="E1291" s="545"/>
    </row>
    <row r="1292" spans="1:5" ht="17.25" hidden="1" x14ac:dyDescent="0.3">
      <c r="A1292" s="374" t="s">
        <v>15</v>
      </c>
      <c r="B1292" s="380" t="s">
        <v>183</v>
      </c>
      <c r="C1292" s="360" t="s">
        <v>59</v>
      </c>
      <c r="D1292" s="308" t="s">
        <v>179</v>
      </c>
      <c r="E1292" s="546">
        <f>E1294+E1296</f>
        <v>18.974665740410348</v>
      </c>
    </row>
    <row r="1293" spans="1:5" ht="15.75" hidden="1" x14ac:dyDescent="0.25">
      <c r="A1293" s="375"/>
      <c r="B1293" s="381"/>
      <c r="C1293" s="369" t="s">
        <v>292</v>
      </c>
      <c r="D1293" s="332"/>
      <c r="E1293" s="566">
        <f>E1292/3.4528</f>
        <v>5.4954430434460004</v>
      </c>
    </row>
    <row r="1294" spans="1:5" ht="18.75" hidden="1" x14ac:dyDescent="0.35">
      <c r="A1294" s="376" t="s">
        <v>16</v>
      </c>
      <c r="B1294" s="38" t="s">
        <v>18</v>
      </c>
      <c r="C1294" s="346" t="s">
        <v>59</v>
      </c>
      <c r="D1294" s="334" t="s">
        <v>171</v>
      </c>
      <c r="E1294" s="567">
        <v>4.57</v>
      </c>
    </row>
    <row r="1295" spans="1:5" ht="15.75" hidden="1" x14ac:dyDescent="0.25">
      <c r="A1295" s="377"/>
      <c r="B1295" s="382"/>
      <c r="C1295" s="342" t="s">
        <v>292</v>
      </c>
      <c r="D1295" s="336"/>
      <c r="E1295" s="568">
        <f>E1294/3.4528</f>
        <v>1.3235634847080631</v>
      </c>
    </row>
    <row r="1296" spans="1:5" ht="33" hidden="1" x14ac:dyDescent="0.25">
      <c r="A1296" s="378" t="s">
        <v>17</v>
      </c>
      <c r="B1296" s="391" t="s">
        <v>19</v>
      </c>
      <c r="C1296" s="331" t="s">
        <v>59</v>
      </c>
      <c r="D1296" s="338" t="s">
        <v>278</v>
      </c>
      <c r="E1296" s="569">
        <f>0.29+((4325*E1302+226*E1310+106.1*E1306+509*E1314)/(44.84*1000))/10</f>
        <v>14.404665740410348</v>
      </c>
    </row>
    <row r="1297" spans="1:5" hidden="1" x14ac:dyDescent="0.25">
      <c r="A1297" s="379"/>
      <c r="B1297" s="384"/>
      <c r="C1297" s="342" t="s">
        <v>292</v>
      </c>
      <c r="D1297" s="339"/>
      <c r="E1297" s="570">
        <f>E1296/3.4528</f>
        <v>4.1718795587379365</v>
      </c>
    </row>
    <row r="1298" spans="1:5" hidden="1" x14ac:dyDescent="0.25">
      <c r="A1298" s="372" t="s">
        <v>21</v>
      </c>
      <c r="B1298" s="373" t="s">
        <v>22</v>
      </c>
      <c r="C1298" s="31"/>
      <c r="D1298" s="337"/>
      <c r="E1298" s="548"/>
    </row>
    <row r="1299" spans="1:5" hidden="1" x14ac:dyDescent="0.25">
      <c r="A1299" s="311" t="s">
        <v>23</v>
      </c>
      <c r="B1299" s="48" t="s">
        <v>24</v>
      </c>
      <c r="C1299" s="49"/>
      <c r="D1299" s="49"/>
      <c r="E1299" s="549"/>
    </row>
    <row r="1300" spans="1:5" hidden="1" x14ac:dyDescent="0.25">
      <c r="A1300" s="309" t="s">
        <v>25</v>
      </c>
      <c r="B1300" s="24" t="s">
        <v>26</v>
      </c>
      <c r="C1300" s="32" t="s">
        <v>41</v>
      </c>
      <c r="D1300" s="24"/>
      <c r="E1300" s="550">
        <v>1034.57</v>
      </c>
    </row>
    <row r="1301" spans="1:5" hidden="1" x14ac:dyDescent="0.25">
      <c r="A1301" s="309" t="s">
        <v>27</v>
      </c>
      <c r="B1301" s="24" t="s">
        <v>28</v>
      </c>
      <c r="C1301" s="5" t="s">
        <v>41</v>
      </c>
      <c r="D1301" s="24"/>
      <c r="E1301" s="544">
        <v>313.23</v>
      </c>
    </row>
    <row r="1302" spans="1:5" hidden="1" x14ac:dyDescent="0.25">
      <c r="A1302" s="309" t="s">
        <v>29</v>
      </c>
      <c r="B1302" s="38" t="s">
        <v>30</v>
      </c>
      <c r="C1302" s="39" t="s">
        <v>41</v>
      </c>
      <c r="D1302" s="24"/>
      <c r="E1302" s="551">
        <f>E1300+E1301</f>
        <v>1347.8</v>
      </c>
    </row>
    <row r="1303" spans="1:5" hidden="1" x14ac:dyDescent="0.25">
      <c r="A1303" s="312" t="s">
        <v>31</v>
      </c>
      <c r="B1303" s="41" t="s">
        <v>265</v>
      </c>
      <c r="C1303" s="42"/>
      <c r="D1303" s="42"/>
      <c r="E1303" s="552"/>
    </row>
    <row r="1304" spans="1:5" hidden="1" x14ac:dyDescent="0.25">
      <c r="A1304" s="309" t="s">
        <v>35</v>
      </c>
      <c r="B1304" s="24" t="s">
        <v>26</v>
      </c>
      <c r="C1304" s="40" t="s">
        <v>33</v>
      </c>
      <c r="D1304" s="24"/>
      <c r="E1304" s="550"/>
    </row>
    <row r="1305" spans="1:5" hidden="1" x14ac:dyDescent="0.25">
      <c r="A1305" s="309" t="s">
        <v>36</v>
      </c>
      <c r="B1305" s="24" t="s">
        <v>28</v>
      </c>
      <c r="C1305" s="4" t="s">
        <v>33</v>
      </c>
      <c r="D1305" s="24"/>
      <c r="E1305" s="550"/>
    </row>
    <row r="1306" spans="1:5" hidden="1" x14ac:dyDescent="0.25">
      <c r="A1306" s="309" t="s">
        <v>37</v>
      </c>
      <c r="B1306" s="24" t="s">
        <v>30</v>
      </c>
      <c r="C1306" s="43" t="s">
        <v>33</v>
      </c>
      <c r="D1306" s="24"/>
      <c r="E1306" s="551">
        <v>408.98</v>
      </c>
    </row>
    <row r="1307" spans="1:5" hidden="1" x14ac:dyDescent="0.25">
      <c r="A1307" s="312" t="s">
        <v>31</v>
      </c>
      <c r="B1307" s="41" t="s">
        <v>266</v>
      </c>
      <c r="C1307" s="42"/>
      <c r="D1307" s="42"/>
      <c r="E1307" s="552"/>
    </row>
    <row r="1308" spans="1:5" hidden="1" x14ac:dyDescent="0.25">
      <c r="A1308" s="309" t="s">
        <v>35</v>
      </c>
      <c r="B1308" s="24" t="s">
        <v>26</v>
      </c>
      <c r="C1308" s="40" t="s">
        <v>33</v>
      </c>
      <c r="D1308" s="24"/>
      <c r="E1308" s="550"/>
    </row>
    <row r="1309" spans="1:5" hidden="1" x14ac:dyDescent="0.25">
      <c r="A1309" s="309" t="s">
        <v>36</v>
      </c>
      <c r="B1309" s="24" t="s">
        <v>28</v>
      </c>
      <c r="C1309" s="4" t="s">
        <v>33</v>
      </c>
      <c r="D1309" s="24"/>
      <c r="E1309" s="550"/>
    </row>
    <row r="1310" spans="1:5" hidden="1" x14ac:dyDescent="0.25">
      <c r="A1310" s="309" t="s">
        <v>37</v>
      </c>
      <c r="B1310" s="24" t="s">
        <v>30</v>
      </c>
      <c r="C1310" s="43" t="s">
        <v>33</v>
      </c>
      <c r="D1310" s="24"/>
      <c r="E1310" s="551">
        <v>347.42</v>
      </c>
    </row>
    <row r="1311" spans="1:5" hidden="1" x14ac:dyDescent="0.25">
      <c r="A1311" s="313" t="s">
        <v>34</v>
      </c>
      <c r="B1311" s="45" t="s">
        <v>103</v>
      </c>
      <c r="C1311" s="46"/>
      <c r="D1311" s="46"/>
      <c r="E1311" s="553"/>
    </row>
    <row r="1312" spans="1:5" hidden="1" x14ac:dyDescent="0.25">
      <c r="A1312" s="314" t="s">
        <v>38</v>
      </c>
      <c r="B1312" s="44" t="s">
        <v>26</v>
      </c>
      <c r="C1312" s="40" t="s">
        <v>33</v>
      </c>
      <c r="D1312" s="24"/>
      <c r="E1312" s="550">
        <f>Lapas3!D1180</f>
        <v>0</v>
      </c>
    </row>
    <row r="1313" spans="1:5" hidden="1" x14ac:dyDescent="0.25">
      <c r="A1313" s="314" t="s">
        <v>39</v>
      </c>
      <c r="B1313" s="24" t="s">
        <v>28</v>
      </c>
      <c r="C1313" s="4" t="s">
        <v>33</v>
      </c>
      <c r="D1313" s="24"/>
      <c r="E1313" s="544"/>
    </row>
    <row r="1314" spans="1:5" hidden="1" x14ac:dyDescent="0.25">
      <c r="A1314" s="21" t="s">
        <v>40</v>
      </c>
      <c r="B1314" s="38" t="s">
        <v>30</v>
      </c>
      <c r="C1314" s="43" t="s">
        <v>33</v>
      </c>
      <c r="D1314" s="24"/>
      <c r="E1314" s="551">
        <v>742.38</v>
      </c>
    </row>
    <row r="1315" spans="1:5" hidden="1" x14ac:dyDescent="0.25">
      <c r="A1315" s="315" t="s">
        <v>42</v>
      </c>
      <c r="B1315" s="51" t="s">
        <v>43</v>
      </c>
      <c r="C1315" s="52"/>
      <c r="D1315" s="52"/>
      <c r="E1315" s="554"/>
    </row>
    <row r="1316" spans="1:5" hidden="1" x14ac:dyDescent="0.25">
      <c r="A1316" s="242" t="s">
        <v>44</v>
      </c>
      <c r="B1316" s="24" t="s">
        <v>104</v>
      </c>
      <c r="C1316" s="24"/>
      <c r="D1316" s="24"/>
      <c r="E1316" s="555" t="s">
        <v>106</v>
      </c>
    </row>
    <row r="1317" spans="1:5" hidden="1" x14ac:dyDescent="0.25">
      <c r="A1317" s="242" t="s">
        <v>45</v>
      </c>
      <c r="B1317" s="24" t="s">
        <v>105</v>
      </c>
      <c r="C1317" s="11" t="s">
        <v>59</v>
      </c>
      <c r="D1317" s="24"/>
      <c r="E1317" s="544">
        <v>0</v>
      </c>
    </row>
    <row r="1318" spans="1:5" ht="17.25" hidden="1" x14ac:dyDescent="0.3">
      <c r="A1318" s="316" t="s">
        <v>46</v>
      </c>
      <c r="B1318" s="136" t="s">
        <v>172</v>
      </c>
      <c r="C1318" s="139" t="s">
        <v>59</v>
      </c>
      <c r="D1318" s="140" t="s">
        <v>181</v>
      </c>
      <c r="E1318" s="563">
        <f>E1319+E1320</f>
        <v>18.974665740410348</v>
      </c>
    </row>
    <row r="1319" spans="1:5" ht="18.75" hidden="1" x14ac:dyDescent="0.35">
      <c r="A1319" s="242" t="s">
        <v>48</v>
      </c>
      <c r="B1319" s="24" t="s">
        <v>49</v>
      </c>
      <c r="C1319" s="53" t="s">
        <v>59</v>
      </c>
      <c r="D1319" s="122" t="s">
        <v>173</v>
      </c>
      <c r="E1319" s="550">
        <f>E1294</f>
        <v>4.57</v>
      </c>
    </row>
    <row r="1320" spans="1:5" ht="33" hidden="1" x14ac:dyDescent="0.25">
      <c r="A1320" s="310" t="s">
        <v>50</v>
      </c>
      <c r="B1320" s="35" t="s">
        <v>51</v>
      </c>
      <c r="C1320" s="27" t="s">
        <v>59</v>
      </c>
      <c r="D1320" s="54" t="s">
        <v>278</v>
      </c>
      <c r="E1320" s="557">
        <f>E1296</f>
        <v>14.404665740410348</v>
      </c>
    </row>
    <row r="1321" spans="1:5" hidden="1" x14ac:dyDescent="0.25">
      <c r="A1321" s="242" t="s">
        <v>52</v>
      </c>
      <c r="B1321" s="55" t="s">
        <v>53</v>
      </c>
      <c r="C1321" s="33"/>
      <c r="D1321" s="33"/>
      <c r="E1321" s="548"/>
    </row>
    <row r="1322" spans="1:5" hidden="1" x14ac:dyDescent="0.25">
      <c r="A1322" s="242" t="s">
        <v>54</v>
      </c>
      <c r="B1322" s="24" t="s">
        <v>55</v>
      </c>
      <c r="C1322" s="11" t="s">
        <v>56</v>
      </c>
      <c r="D1322" s="24"/>
      <c r="E1322" s="544">
        <v>33.340000000000003</v>
      </c>
    </row>
    <row r="1323" spans="1:5" hidden="1" x14ac:dyDescent="0.25">
      <c r="A1323" s="242" t="s">
        <v>57</v>
      </c>
      <c r="B1323" s="24" t="s">
        <v>58</v>
      </c>
      <c r="C1323" s="11" t="s">
        <v>59</v>
      </c>
      <c r="D1323" s="56" t="s">
        <v>47</v>
      </c>
      <c r="E1323" s="550">
        <f>E1320</f>
        <v>14.404665740410348</v>
      </c>
    </row>
    <row r="1324" spans="1:5" hidden="1" x14ac:dyDescent="0.25">
      <c r="A1324" s="307" t="s">
        <v>60</v>
      </c>
      <c r="B1324" s="866" t="s">
        <v>61</v>
      </c>
      <c r="C1324" s="867"/>
      <c r="D1324" s="867"/>
      <c r="E1324" s="868"/>
    </row>
    <row r="1325" spans="1:5" ht="17.25" hidden="1" x14ac:dyDescent="0.3">
      <c r="A1325" s="353" t="s">
        <v>62</v>
      </c>
      <c r="B1325" s="343" t="s">
        <v>182</v>
      </c>
      <c r="C1325" s="344" t="s">
        <v>59</v>
      </c>
      <c r="D1325" s="340" t="s">
        <v>180</v>
      </c>
      <c r="E1325" s="571">
        <f>E1327+E1329</f>
        <v>6.5036324457598642</v>
      </c>
    </row>
    <row r="1326" spans="1:5" ht="15.75" hidden="1" x14ac:dyDescent="0.25">
      <c r="A1326" s="345"/>
      <c r="B1326" s="354"/>
      <c r="C1326" s="342" t="s">
        <v>292</v>
      </c>
      <c r="D1326" s="341"/>
      <c r="E1326" s="566">
        <f>E1325/3.4528</f>
        <v>1.8835821494902296</v>
      </c>
    </row>
    <row r="1327" spans="1:5" ht="18.75" hidden="1" x14ac:dyDescent="0.35">
      <c r="A1327" s="349" t="s">
        <v>63</v>
      </c>
      <c r="B1327" s="355" t="s">
        <v>64</v>
      </c>
      <c r="C1327" s="346" t="s">
        <v>59</v>
      </c>
      <c r="D1327" s="334" t="s">
        <v>174</v>
      </c>
      <c r="E1327" s="548">
        <v>2.44</v>
      </c>
    </row>
    <row r="1328" spans="1:5" ht="15.75" hidden="1" x14ac:dyDescent="0.25">
      <c r="A1328" s="350"/>
      <c r="B1328" s="356"/>
      <c r="C1328" s="342" t="s">
        <v>292</v>
      </c>
      <c r="D1328" s="335"/>
      <c r="E1328" s="566">
        <f>E1327/3.4528</f>
        <v>0.70667284522706209</v>
      </c>
    </row>
    <row r="1329" spans="1:5" ht="18.75" hidden="1" x14ac:dyDescent="0.25">
      <c r="A1329" s="349" t="s">
        <v>65</v>
      </c>
      <c r="B1329" s="357" t="s">
        <v>66</v>
      </c>
      <c r="C1329" s="346" t="s">
        <v>59</v>
      </c>
      <c r="D1329" s="351" t="s">
        <v>279</v>
      </c>
      <c r="E1329" s="572">
        <f>0.41+(7.24*E1292/37.6)</f>
        <v>4.0636324457598647</v>
      </c>
    </row>
    <row r="1330" spans="1:5" ht="15.75" hidden="1" x14ac:dyDescent="0.25">
      <c r="A1330" s="350"/>
      <c r="B1330" s="358"/>
      <c r="C1330" s="342" t="s">
        <v>292</v>
      </c>
      <c r="D1330" s="352"/>
      <c r="E1330" s="566">
        <f>E1329/3.4528</f>
        <v>1.1769093042631675</v>
      </c>
    </row>
    <row r="1331" spans="1:5" hidden="1" x14ac:dyDescent="0.25">
      <c r="A1331" s="347" t="s">
        <v>67</v>
      </c>
      <c r="B1331" s="348" t="s">
        <v>68</v>
      </c>
      <c r="C1331" s="9"/>
      <c r="D1331" s="44"/>
      <c r="E1331" s="544"/>
    </row>
    <row r="1332" spans="1:5" hidden="1" x14ac:dyDescent="0.25">
      <c r="A1332" s="12" t="s">
        <v>69</v>
      </c>
      <c r="B1332" s="17" t="s">
        <v>55</v>
      </c>
      <c r="C1332" s="10" t="s">
        <v>56</v>
      </c>
      <c r="D1332" s="24"/>
      <c r="E1332" s="550">
        <v>16.100000000000001</v>
      </c>
    </row>
    <row r="1333" spans="1:5" ht="18.75" hidden="1" x14ac:dyDescent="0.35">
      <c r="A1333" s="12" t="s">
        <v>70</v>
      </c>
      <c r="B1333" s="17" t="s">
        <v>71</v>
      </c>
      <c r="C1333" s="11" t="s">
        <v>59</v>
      </c>
      <c r="D1333" s="122" t="s">
        <v>176</v>
      </c>
      <c r="E1333" s="550">
        <f>E1329</f>
        <v>4.0636324457598647</v>
      </c>
    </row>
    <row r="1334" spans="1:5" hidden="1" x14ac:dyDescent="0.25">
      <c r="A1334" s="317" t="s">
        <v>72</v>
      </c>
      <c r="B1334" s="869" t="s">
        <v>73</v>
      </c>
      <c r="C1334" s="870"/>
      <c r="D1334" s="870"/>
      <c r="E1334" s="871"/>
    </row>
    <row r="1335" spans="1:5" hidden="1" x14ac:dyDescent="0.25">
      <c r="A1335" s="864" t="s">
        <v>79</v>
      </c>
      <c r="B1335" s="18" t="s">
        <v>74</v>
      </c>
      <c r="C1335" s="11" t="s">
        <v>59</v>
      </c>
      <c r="D1335" s="124" t="s">
        <v>106</v>
      </c>
      <c r="E1335" s="558">
        <v>0.31</v>
      </c>
    </row>
    <row r="1336" spans="1:5" hidden="1" x14ac:dyDescent="0.25">
      <c r="A1336" s="865"/>
      <c r="B1336" s="19" t="s">
        <v>75</v>
      </c>
      <c r="C1336" s="53" t="s">
        <v>76</v>
      </c>
      <c r="D1336" s="124" t="s">
        <v>106</v>
      </c>
      <c r="E1336" s="558">
        <v>2.34</v>
      </c>
    </row>
    <row r="1337" spans="1:5" ht="15.75" hidden="1" thickBot="1" x14ac:dyDescent="0.3">
      <c r="A1337" s="865"/>
      <c r="B1337" s="19" t="s">
        <v>77</v>
      </c>
      <c r="C1337" s="123" t="s">
        <v>78</v>
      </c>
      <c r="D1337" s="124" t="s">
        <v>106</v>
      </c>
      <c r="E1337" s="558">
        <v>46.34</v>
      </c>
    </row>
    <row r="1338" spans="1:5" hidden="1" x14ac:dyDescent="0.25">
      <c r="A1338" s="317" t="s">
        <v>80</v>
      </c>
      <c r="B1338" s="127" t="s">
        <v>81</v>
      </c>
      <c r="C1338" s="11" t="s">
        <v>59</v>
      </c>
      <c r="D1338" s="62"/>
      <c r="E1338" s="558">
        <v>-7.0000000000000007E-2</v>
      </c>
    </row>
    <row r="1339" spans="1:5" hidden="1" x14ac:dyDescent="0.25">
      <c r="A1339" s="317" t="s">
        <v>82</v>
      </c>
      <c r="B1339" s="127" t="s">
        <v>83</v>
      </c>
      <c r="C1339" s="11" t="s">
        <v>59</v>
      </c>
      <c r="D1339" s="62"/>
      <c r="E1339" s="558">
        <v>-0.14000000000000001</v>
      </c>
    </row>
    <row r="1340" spans="1:5" hidden="1" x14ac:dyDescent="0.25">
      <c r="A1340" s="366" t="s">
        <v>84</v>
      </c>
      <c r="B1340" s="361" t="s">
        <v>267</v>
      </c>
      <c r="C1340" s="359" t="s">
        <v>59</v>
      </c>
      <c r="D1340" s="62"/>
      <c r="E1340" s="559">
        <v>25.57</v>
      </c>
    </row>
    <row r="1341" spans="1:5" hidden="1" x14ac:dyDescent="0.25">
      <c r="A1341" s="364"/>
      <c r="B1341" s="363"/>
      <c r="C1341" s="342" t="s">
        <v>292</v>
      </c>
      <c r="D1341" s="62"/>
      <c r="E1341" s="573">
        <f>E1340/3.4528</f>
        <v>7.4055838739573687</v>
      </c>
    </row>
    <row r="1342" spans="1:5" hidden="1" x14ac:dyDescent="0.25">
      <c r="A1342" s="365" t="s">
        <v>85</v>
      </c>
      <c r="B1342" s="127" t="s">
        <v>86</v>
      </c>
      <c r="C1342" s="359" t="s">
        <v>59</v>
      </c>
      <c r="D1342" s="62"/>
      <c r="E1342" s="558">
        <v>0</v>
      </c>
    </row>
    <row r="1343" spans="1:5" hidden="1" x14ac:dyDescent="0.25">
      <c r="A1343" s="366" t="s">
        <v>87</v>
      </c>
      <c r="B1343" s="361" t="s">
        <v>88</v>
      </c>
      <c r="C1343" s="360" t="s">
        <v>59</v>
      </c>
      <c r="D1343" s="129"/>
      <c r="E1343" s="559">
        <f>E1340</f>
        <v>25.57</v>
      </c>
    </row>
    <row r="1344" spans="1:5" hidden="1" x14ac:dyDescent="0.25">
      <c r="A1344" s="364"/>
      <c r="B1344" s="363"/>
      <c r="C1344" s="342" t="s">
        <v>292</v>
      </c>
      <c r="D1344" s="129"/>
      <c r="E1344" s="573">
        <f>E1343/3.4528</f>
        <v>7.4055838739573687</v>
      </c>
    </row>
    <row r="1345" spans="1:5" hidden="1" x14ac:dyDescent="0.25">
      <c r="A1345" s="366" t="s">
        <v>89</v>
      </c>
      <c r="B1345" s="361" t="s">
        <v>90</v>
      </c>
      <c r="C1345" s="360" t="s">
        <v>59</v>
      </c>
      <c r="D1345" s="129"/>
      <c r="E1345" s="560">
        <f>E1343*1.09</f>
        <v>27.871300000000002</v>
      </c>
    </row>
    <row r="1346" spans="1:5" hidden="1" x14ac:dyDescent="0.25">
      <c r="A1346" s="367"/>
      <c r="B1346" s="368"/>
      <c r="C1346" s="342" t="s">
        <v>292</v>
      </c>
      <c r="D1346" s="129"/>
      <c r="E1346" s="573">
        <f>E1345/3.4528</f>
        <v>8.0720864226135323</v>
      </c>
    </row>
    <row r="1347" spans="1:5" hidden="1" x14ac:dyDescent="0.25">
      <c r="A1347" s="366" t="s">
        <v>91</v>
      </c>
      <c r="B1347" s="361" t="s">
        <v>92</v>
      </c>
      <c r="C1347" s="360" t="s">
        <v>59</v>
      </c>
      <c r="D1347" s="129"/>
      <c r="E1347" s="560">
        <f>E1253</f>
        <v>25.48</v>
      </c>
    </row>
    <row r="1348" spans="1:5" hidden="1" x14ac:dyDescent="0.25">
      <c r="A1348" s="364"/>
      <c r="B1348" s="363"/>
      <c r="C1348" s="342" t="s">
        <v>292</v>
      </c>
      <c r="D1348" s="129"/>
      <c r="E1348" s="573">
        <f>E1347/3.4528</f>
        <v>7.3795180722891569</v>
      </c>
    </row>
    <row r="1349" spans="1:5" hidden="1" x14ac:dyDescent="0.25">
      <c r="A1349" s="362" t="s">
        <v>93</v>
      </c>
      <c r="B1349" s="363" t="s">
        <v>94</v>
      </c>
      <c r="C1349" s="126" t="s">
        <v>95</v>
      </c>
      <c r="D1349" s="129"/>
      <c r="E1349" s="560">
        <f>(E1340/E1347)*100-100</f>
        <v>0.35321821036107792</v>
      </c>
    </row>
    <row r="1350" spans="1:5" hidden="1" x14ac:dyDescent="0.25">
      <c r="A1350" s="317" t="s">
        <v>96</v>
      </c>
      <c r="B1350" s="128" t="s">
        <v>97</v>
      </c>
      <c r="C1350" s="130" t="s">
        <v>98</v>
      </c>
      <c r="D1350" s="131"/>
      <c r="E1350" s="565">
        <v>0.92700000000000005</v>
      </c>
    </row>
    <row r="1351" spans="1:5" hidden="1" x14ac:dyDescent="0.25">
      <c r="A1351" s="317" t="s">
        <v>99</v>
      </c>
      <c r="B1351" s="128" t="s">
        <v>100</v>
      </c>
      <c r="C1351" s="125" t="s">
        <v>98</v>
      </c>
      <c r="D1351" s="62"/>
      <c r="E1351" s="565">
        <v>0.59667599999999998</v>
      </c>
    </row>
    <row r="1352" spans="1:5" ht="15.75" hidden="1" thickBot="1" x14ac:dyDescent="0.3">
      <c r="A1352" s="22" t="s">
        <v>101</v>
      </c>
      <c r="B1352" s="23" t="s">
        <v>102</v>
      </c>
      <c r="C1352" s="318" t="s">
        <v>98</v>
      </c>
      <c r="D1352" s="319"/>
      <c r="E1352" s="562">
        <v>0</v>
      </c>
    </row>
    <row r="1353" spans="1:5" hidden="1" x14ac:dyDescent="0.25"/>
    <row r="1354" spans="1:5" hidden="1" x14ac:dyDescent="0.25"/>
    <row r="1355" spans="1:5" hidden="1" x14ac:dyDescent="0.25">
      <c r="B1355" s="329"/>
      <c r="C1355" s="330"/>
      <c r="D1355" s="330"/>
    </row>
    <row r="1356" spans="1:5" hidden="1" x14ac:dyDescent="0.25"/>
    <row r="1357" spans="1:5" hidden="1" x14ac:dyDescent="0.25"/>
    <row r="1358" spans="1:5" hidden="1" x14ac:dyDescent="0.25"/>
    <row r="1359" spans="1:5" hidden="1" x14ac:dyDescent="0.25"/>
    <row r="1360" spans="1:5" hidden="1" x14ac:dyDescent="0.25"/>
    <row r="1361" spans="1:5" hidden="1" x14ac:dyDescent="0.25">
      <c r="B1361" t="s">
        <v>189</v>
      </c>
      <c r="C1361" t="s">
        <v>193</v>
      </c>
      <c r="D1361" s="146" t="s">
        <v>190</v>
      </c>
    </row>
    <row r="1362" spans="1:5" hidden="1" x14ac:dyDescent="0.25">
      <c r="C1362" s="153" t="s">
        <v>194</v>
      </c>
    </row>
    <row r="1363" spans="1:5" hidden="1" x14ac:dyDescent="0.25"/>
    <row r="1364" spans="1:5" hidden="1" x14ac:dyDescent="0.25">
      <c r="A1364" s="132" t="s">
        <v>0</v>
      </c>
      <c r="B1364" s="132"/>
      <c r="C1364" s="132"/>
      <c r="D1364" s="132"/>
      <c r="E1364" s="480" t="s">
        <v>107</v>
      </c>
    </row>
    <row r="1365" spans="1:5" hidden="1" x14ac:dyDescent="0.25">
      <c r="A1365" s="132" t="s">
        <v>1</v>
      </c>
      <c r="B1365" s="132"/>
      <c r="C1365" s="132"/>
      <c r="D1365" s="132" t="s">
        <v>178</v>
      </c>
      <c r="E1365" s="519"/>
    </row>
    <row r="1366" spans="1:5" hidden="1" x14ac:dyDescent="0.25">
      <c r="A1366" s="132" t="s">
        <v>2</v>
      </c>
      <c r="B1366" s="132"/>
      <c r="C1366" s="132"/>
      <c r="D1366" s="132" t="s">
        <v>298</v>
      </c>
      <c r="E1366" s="520"/>
    </row>
    <row r="1367" spans="1:5" hidden="1" x14ac:dyDescent="0.25">
      <c r="A1367" s="132" t="s">
        <v>3</v>
      </c>
      <c r="B1367" s="132"/>
      <c r="C1367" s="132"/>
      <c r="D1367" s="132" t="s">
        <v>168</v>
      </c>
      <c r="E1367" s="519"/>
    </row>
    <row r="1368" spans="1:5" hidden="1" x14ac:dyDescent="0.25">
      <c r="A1368" s="132" t="s">
        <v>4</v>
      </c>
      <c r="B1368" s="132"/>
      <c r="C1368" s="132"/>
      <c r="D1368" s="132" t="s">
        <v>169</v>
      </c>
      <c r="E1368" s="519"/>
    </row>
    <row r="1369" spans="1:5" hidden="1" x14ac:dyDescent="0.25">
      <c r="A1369" s="152" t="s">
        <v>192</v>
      </c>
      <c r="B1369" s="132"/>
      <c r="C1369" s="132"/>
      <c r="D1369" s="132"/>
      <c r="E1369" s="519"/>
    </row>
    <row r="1370" spans="1:5" hidden="1" x14ac:dyDescent="0.25">
      <c r="A1370" s="132" t="s">
        <v>5</v>
      </c>
      <c r="B1370" s="132"/>
      <c r="C1370" s="132"/>
      <c r="D1370" s="132" t="s">
        <v>299</v>
      </c>
      <c r="E1370" s="519"/>
    </row>
    <row r="1371" spans="1:5" hidden="1" x14ac:dyDescent="0.25">
      <c r="A1371" s="1"/>
      <c r="B1371" s="1"/>
      <c r="C1371" s="1"/>
      <c r="D1371" s="1"/>
      <c r="E1371" s="463"/>
    </row>
    <row r="1372" spans="1:5" ht="15.75" hidden="1" x14ac:dyDescent="0.25">
      <c r="A1372" s="141" t="s">
        <v>296</v>
      </c>
      <c r="B1372" s="141" t="s">
        <v>297</v>
      </c>
      <c r="C1372" s="2"/>
      <c r="D1372" s="2"/>
    </row>
    <row r="1373" spans="1:5" ht="15.75" hidden="1" x14ac:dyDescent="0.25">
      <c r="A1373" s="141"/>
      <c r="B1373" s="141"/>
      <c r="C1373" s="328">
        <v>41934</v>
      </c>
      <c r="D1373" s="2"/>
    </row>
    <row r="1374" spans="1:5" ht="15.75" hidden="1" x14ac:dyDescent="0.25">
      <c r="A1374" s="141"/>
      <c r="B1374" s="141"/>
      <c r="C1374" s="151" t="s">
        <v>191</v>
      </c>
      <c r="D1374" s="2"/>
    </row>
    <row r="1375" spans="1:5" hidden="1" x14ac:dyDescent="0.25">
      <c r="A1375" s="2" t="s">
        <v>6</v>
      </c>
      <c r="B1375" s="2"/>
      <c r="C1375" s="2"/>
      <c r="D1375" s="2"/>
      <c r="E1375" s="522"/>
    </row>
    <row r="1376" spans="1:5" hidden="1" x14ac:dyDescent="0.25">
      <c r="A1376" s="1" t="s">
        <v>260</v>
      </c>
      <c r="B1376" s="1"/>
      <c r="C1376" s="1"/>
      <c r="D1376" s="1"/>
      <c r="E1376" s="463"/>
    </row>
    <row r="1377" spans="1:5" hidden="1" x14ac:dyDescent="0.25">
      <c r="A1377" s="1" t="s">
        <v>7</v>
      </c>
      <c r="B1377" s="1"/>
      <c r="C1377" s="1"/>
      <c r="D1377" s="1"/>
      <c r="E1377" s="463"/>
    </row>
    <row r="1378" spans="1:5" hidden="1" x14ac:dyDescent="0.25">
      <c r="A1378" s="326" t="s">
        <v>281</v>
      </c>
      <c r="B1378" s="326"/>
      <c r="C1378" s="326"/>
      <c r="D1378" s="326"/>
      <c r="E1378" s="564"/>
    </row>
    <row r="1379" spans="1:5" hidden="1" x14ac:dyDescent="0.25">
      <c r="A1379" s="238" t="s">
        <v>8</v>
      </c>
      <c r="B1379" s="239" t="s">
        <v>9</v>
      </c>
      <c r="C1379" s="239" t="s">
        <v>10</v>
      </c>
      <c r="D1379" s="239" t="s">
        <v>11</v>
      </c>
      <c r="E1379" s="543" t="s">
        <v>12</v>
      </c>
    </row>
    <row r="1380" spans="1:5" hidden="1" x14ac:dyDescent="0.25">
      <c r="A1380" s="242">
        <v>1</v>
      </c>
      <c r="B1380" s="24">
        <v>2</v>
      </c>
      <c r="C1380" s="24">
        <v>3</v>
      </c>
      <c r="D1380" s="24">
        <v>4</v>
      </c>
      <c r="E1380" s="544">
        <v>5</v>
      </c>
    </row>
    <row r="1381" spans="1:5" hidden="1" x14ac:dyDescent="0.25">
      <c r="A1381" s="370" t="s">
        <v>13</v>
      </c>
      <c r="B1381" s="371" t="s">
        <v>14</v>
      </c>
      <c r="C1381" s="26"/>
      <c r="D1381" s="26"/>
      <c r="E1381" s="545"/>
    </row>
    <row r="1382" spans="1:5" ht="17.25" hidden="1" x14ac:dyDescent="0.3">
      <c r="A1382" s="374" t="s">
        <v>15</v>
      </c>
      <c r="B1382" s="380" t="s">
        <v>183</v>
      </c>
      <c r="C1382" s="360" t="s">
        <v>59</v>
      </c>
      <c r="D1382" s="308" t="s">
        <v>179</v>
      </c>
      <c r="E1382" s="546">
        <f>E1384+E1386</f>
        <v>19.437402196699374</v>
      </c>
    </row>
    <row r="1383" spans="1:5" ht="15.75" hidden="1" x14ac:dyDescent="0.25">
      <c r="A1383" s="375"/>
      <c r="B1383" s="381"/>
      <c r="C1383" s="369" t="s">
        <v>292</v>
      </c>
      <c r="D1383" s="332"/>
      <c r="E1383" s="566">
        <f>E1382/3.4528</f>
        <v>5.6294607844935634</v>
      </c>
    </row>
    <row r="1384" spans="1:5" ht="18.75" hidden="1" x14ac:dyDescent="0.35">
      <c r="A1384" s="376" t="s">
        <v>16</v>
      </c>
      <c r="B1384" s="38" t="s">
        <v>18</v>
      </c>
      <c r="C1384" s="346" t="s">
        <v>59</v>
      </c>
      <c r="D1384" s="334" t="s">
        <v>171</v>
      </c>
      <c r="E1384" s="567">
        <v>4.57</v>
      </c>
    </row>
    <row r="1385" spans="1:5" ht="15.75" hidden="1" x14ac:dyDescent="0.25">
      <c r="A1385" s="377"/>
      <c r="B1385" s="382"/>
      <c r="C1385" s="342" t="s">
        <v>292</v>
      </c>
      <c r="D1385" s="336"/>
      <c r="E1385" s="568">
        <f>E1384/3.4528</f>
        <v>1.3235634847080631</v>
      </c>
    </row>
    <row r="1386" spans="1:5" ht="33" hidden="1" x14ac:dyDescent="0.25">
      <c r="A1386" s="378" t="s">
        <v>17</v>
      </c>
      <c r="B1386" s="409" t="s">
        <v>19</v>
      </c>
      <c r="C1386" s="331" t="s">
        <v>59</v>
      </c>
      <c r="D1386" s="338" t="s">
        <v>278</v>
      </c>
      <c r="E1386" s="569">
        <f>0.29+((4325*E1392+226*E1400+106.1*E1396+509*E1404)/(44.84*1000))/10</f>
        <v>14.867402196699375</v>
      </c>
    </row>
    <row r="1387" spans="1:5" hidden="1" x14ac:dyDescent="0.25">
      <c r="A1387" s="379"/>
      <c r="B1387" s="384"/>
      <c r="C1387" s="342" t="s">
        <v>292</v>
      </c>
      <c r="D1387" s="339"/>
      <c r="E1387" s="570">
        <f>E1386/3.4528</f>
        <v>4.3058972997855003</v>
      </c>
    </row>
    <row r="1388" spans="1:5" hidden="1" x14ac:dyDescent="0.25">
      <c r="A1388" s="372" t="s">
        <v>21</v>
      </c>
      <c r="B1388" s="373" t="s">
        <v>22</v>
      </c>
      <c r="C1388" s="31"/>
      <c r="D1388" s="337"/>
      <c r="E1388" s="548"/>
    </row>
    <row r="1389" spans="1:5" hidden="1" x14ac:dyDescent="0.25">
      <c r="A1389" s="311" t="s">
        <v>23</v>
      </c>
      <c r="B1389" s="48" t="s">
        <v>24</v>
      </c>
      <c r="C1389" s="49"/>
      <c r="D1389" s="49"/>
      <c r="E1389" s="549"/>
    </row>
    <row r="1390" spans="1:5" hidden="1" x14ac:dyDescent="0.25">
      <c r="A1390" s="309" t="s">
        <v>25</v>
      </c>
      <c r="B1390" s="24" t="s">
        <v>26</v>
      </c>
      <c r="C1390" s="32" t="s">
        <v>41</v>
      </c>
      <c r="D1390" s="24"/>
      <c r="E1390" s="550">
        <v>1068.56</v>
      </c>
    </row>
    <row r="1391" spans="1:5" hidden="1" x14ac:dyDescent="0.25">
      <c r="A1391" s="309" t="s">
        <v>27</v>
      </c>
      <c r="B1391" s="24" t="s">
        <v>28</v>
      </c>
      <c r="C1391" s="5" t="s">
        <v>41</v>
      </c>
      <c r="D1391" s="24"/>
      <c r="E1391" s="544">
        <v>313.23</v>
      </c>
    </row>
    <row r="1392" spans="1:5" hidden="1" x14ac:dyDescent="0.25">
      <c r="A1392" s="309" t="s">
        <v>29</v>
      </c>
      <c r="B1392" s="38" t="s">
        <v>30</v>
      </c>
      <c r="C1392" s="39" t="s">
        <v>41</v>
      </c>
      <c r="D1392" s="24"/>
      <c r="E1392" s="551">
        <f>E1390+E1391</f>
        <v>1381.79</v>
      </c>
    </row>
    <row r="1393" spans="1:5" hidden="1" x14ac:dyDescent="0.25">
      <c r="A1393" s="312" t="s">
        <v>31</v>
      </c>
      <c r="B1393" s="41" t="s">
        <v>265</v>
      </c>
      <c r="C1393" s="42"/>
      <c r="D1393" s="42"/>
      <c r="E1393" s="552"/>
    </row>
    <row r="1394" spans="1:5" hidden="1" x14ac:dyDescent="0.25">
      <c r="A1394" s="309" t="s">
        <v>35</v>
      </c>
      <c r="B1394" s="24" t="s">
        <v>26</v>
      </c>
      <c r="C1394" s="40" t="s">
        <v>33</v>
      </c>
      <c r="D1394" s="24"/>
      <c r="E1394" s="550"/>
    </row>
    <row r="1395" spans="1:5" hidden="1" x14ac:dyDescent="0.25">
      <c r="A1395" s="309" t="s">
        <v>36</v>
      </c>
      <c r="B1395" s="24" t="s">
        <v>28</v>
      </c>
      <c r="C1395" s="4" t="s">
        <v>33</v>
      </c>
      <c r="D1395" s="24"/>
      <c r="E1395" s="550"/>
    </row>
    <row r="1396" spans="1:5" hidden="1" x14ac:dyDescent="0.25">
      <c r="A1396" s="309" t="s">
        <v>37</v>
      </c>
      <c r="B1396" s="24" t="s">
        <v>30</v>
      </c>
      <c r="C1396" s="43" t="s">
        <v>33</v>
      </c>
      <c r="D1396" s="24"/>
      <c r="E1396" s="551">
        <v>556.54999999999995</v>
      </c>
    </row>
    <row r="1397" spans="1:5" hidden="1" x14ac:dyDescent="0.25">
      <c r="A1397" s="312" t="s">
        <v>31</v>
      </c>
      <c r="B1397" s="41" t="s">
        <v>266</v>
      </c>
      <c r="C1397" s="42"/>
      <c r="D1397" s="42"/>
      <c r="E1397" s="552"/>
    </row>
    <row r="1398" spans="1:5" hidden="1" x14ac:dyDescent="0.25">
      <c r="A1398" s="309" t="s">
        <v>35</v>
      </c>
      <c r="B1398" s="24" t="s">
        <v>26</v>
      </c>
      <c r="C1398" s="40" t="s">
        <v>33</v>
      </c>
      <c r="D1398" s="24"/>
      <c r="E1398" s="550"/>
    </row>
    <row r="1399" spans="1:5" hidden="1" x14ac:dyDescent="0.25">
      <c r="A1399" s="309" t="s">
        <v>36</v>
      </c>
      <c r="B1399" s="24" t="s">
        <v>28</v>
      </c>
      <c r="C1399" s="4" t="s">
        <v>33</v>
      </c>
      <c r="D1399" s="24"/>
      <c r="E1399" s="550"/>
    </row>
    <row r="1400" spans="1:5" hidden="1" x14ac:dyDescent="0.25">
      <c r="A1400" s="309" t="s">
        <v>37</v>
      </c>
      <c r="B1400" s="24" t="s">
        <v>30</v>
      </c>
      <c r="C1400" s="43" t="s">
        <v>33</v>
      </c>
      <c r="D1400" s="24"/>
      <c r="E1400" s="551">
        <v>545.77</v>
      </c>
    </row>
    <row r="1401" spans="1:5" hidden="1" x14ac:dyDescent="0.25">
      <c r="A1401" s="313" t="s">
        <v>34</v>
      </c>
      <c r="B1401" s="45" t="s">
        <v>103</v>
      </c>
      <c r="C1401" s="46"/>
      <c r="D1401" s="46"/>
      <c r="E1401" s="553"/>
    </row>
    <row r="1402" spans="1:5" hidden="1" x14ac:dyDescent="0.25">
      <c r="A1402" s="314" t="s">
        <v>38</v>
      </c>
      <c r="B1402" s="44" t="s">
        <v>26</v>
      </c>
      <c r="C1402" s="40" t="s">
        <v>33</v>
      </c>
      <c r="D1402" s="24"/>
      <c r="E1402" s="550">
        <f>Lapas3!D1270</f>
        <v>0</v>
      </c>
    </row>
    <row r="1403" spans="1:5" hidden="1" x14ac:dyDescent="0.25">
      <c r="A1403" s="314" t="s">
        <v>39</v>
      </c>
      <c r="B1403" s="24" t="s">
        <v>28</v>
      </c>
      <c r="C1403" s="4" t="s">
        <v>33</v>
      </c>
      <c r="D1403" s="24"/>
      <c r="E1403" s="544"/>
    </row>
    <row r="1404" spans="1:5" hidden="1" x14ac:dyDescent="0.25">
      <c r="A1404" s="21" t="s">
        <v>40</v>
      </c>
      <c r="B1404" s="38" t="s">
        <v>30</v>
      </c>
      <c r="C1404" s="43" t="s">
        <v>33</v>
      </c>
      <c r="D1404" s="24"/>
      <c r="E1404" s="551">
        <v>742.38</v>
      </c>
    </row>
    <row r="1405" spans="1:5" hidden="1" x14ac:dyDescent="0.25">
      <c r="A1405" s="315" t="s">
        <v>42</v>
      </c>
      <c r="B1405" s="51" t="s">
        <v>43</v>
      </c>
      <c r="C1405" s="52"/>
      <c r="D1405" s="52"/>
      <c r="E1405" s="554"/>
    </row>
    <row r="1406" spans="1:5" hidden="1" x14ac:dyDescent="0.25">
      <c r="A1406" s="242" t="s">
        <v>44</v>
      </c>
      <c r="B1406" s="24" t="s">
        <v>104</v>
      </c>
      <c r="C1406" s="24"/>
      <c r="D1406" s="24"/>
      <c r="E1406" s="555" t="s">
        <v>106</v>
      </c>
    </row>
    <row r="1407" spans="1:5" hidden="1" x14ac:dyDescent="0.25">
      <c r="A1407" s="242" t="s">
        <v>45</v>
      </c>
      <c r="B1407" s="24" t="s">
        <v>105</v>
      </c>
      <c r="C1407" s="11" t="s">
        <v>59</v>
      </c>
      <c r="D1407" s="24"/>
      <c r="E1407" s="544">
        <v>0</v>
      </c>
    </row>
    <row r="1408" spans="1:5" ht="17.25" hidden="1" x14ac:dyDescent="0.3">
      <c r="A1408" s="316" t="s">
        <v>46</v>
      </c>
      <c r="B1408" s="136" t="s">
        <v>172</v>
      </c>
      <c r="C1408" s="139" t="s">
        <v>59</v>
      </c>
      <c r="D1408" s="140" t="s">
        <v>181</v>
      </c>
      <c r="E1408" s="563">
        <f>E1409+E1410</f>
        <v>19.437402196699374</v>
      </c>
    </row>
    <row r="1409" spans="1:5" ht="18.75" hidden="1" x14ac:dyDescent="0.35">
      <c r="A1409" s="242" t="s">
        <v>48</v>
      </c>
      <c r="B1409" s="24" t="s">
        <v>49</v>
      </c>
      <c r="C1409" s="53" t="s">
        <v>59</v>
      </c>
      <c r="D1409" s="122" t="s">
        <v>173</v>
      </c>
      <c r="E1409" s="550">
        <f>E1384</f>
        <v>4.57</v>
      </c>
    </row>
    <row r="1410" spans="1:5" ht="33" hidden="1" x14ac:dyDescent="0.25">
      <c r="A1410" s="310" t="s">
        <v>50</v>
      </c>
      <c r="B1410" s="35" t="s">
        <v>51</v>
      </c>
      <c r="C1410" s="27" t="s">
        <v>59</v>
      </c>
      <c r="D1410" s="54" t="s">
        <v>278</v>
      </c>
      <c r="E1410" s="557">
        <f>E1386</f>
        <v>14.867402196699375</v>
      </c>
    </row>
    <row r="1411" spans="1:5" hidden="1" x14ac:dyDescent="0.25">
      <c r="A1411" s="242" t="s">
        <v>52</v>
      </c>
      <c r="B1411" s="55" t="s">
        <v>53</v>
      </c>
      <c r="C1411" s="33"/>
      <c r="D1411" s="33"/>
      <c r="E1411" s="548"/>
    </row>
    <row r="1412" spans="1:5" hidden="1" x14ac:dyDescent="0.25">
      <c r="A1412" s="242" t="s">
        <v>54</v>
      </c>
      <c r="B1412" s="24" t="s">
        <v>55</v>
      </c>
      <c r="C1412" s="11" t="s">
        <v>56</v>
      </c>
      <c r="D1412" s="24"/>
      <c r="E1412" s="544">
        <v>33.340000000000003</v>
      </c>
    </row>
    <row r="1413" spans="1:5" hidden="1" x14ac:dyDescent="0.25">
      <c r="A1413" s="242" t="s">
        <v>57</v>
      </c>
      <c r="B1413" s="24" t="s">
        <v>58</v>
      </c>
      <c r="C1413" s="11" t="s">
        <v>59</v>
      </c>
      <c r="D1413" s="56" t="s">
        <v>47</v>
      </c>
      <c r="E1413" s="550">
        <f>E1410</f>
        <v>14.867402196699375</v>
      </c>
    </row>
    <row r="1414" spans="1:5" hidden="1" x14ac:dyDescent="0.25">
      <c r="A1414" s="307" t="s">
        <v>60</v>
      </c>
      <c r="B1414" s="866" t="s">
        <v>61</v>
      </c>
      <c r="C1414" s="867"/>
      <c r="D1414" s="867"/>
      <c r="E1414" s="868"/>
    </row>
    <row r="1415" spans="1:5" ht="17.25" hidden="1" x14ac:dyDescent="0.3">
      <c r="A1415" s="353" t="s">
        <v>62</v>
      </c>
      <c r="B1415" s="343" t="s">
        <v>182</v>
      </c>
      <c r="C1415" s="344" t="s">
        <v>59</v>
      </c>
      <c r="D1415" s="340" t="s">
        <v>180</v>
      </c>
      <c r="E1415" s="571">
        <f>E1417+E1419</f>
        <v>6.5927338272367937</v>
      </c>
    </row>
    <row r="1416" spans="1:5" ht="15.75" hidden="1" x14ac:dyDescent="0.25">
      <c r="A1416" s="345"/>
      <c r="B1416" s="354"/>
      <c r="C1416" s="342" t="s">
        <v>292</v>
      </c>
      <c r="D1416" s="341"/>
      <c r="E1416" s="566">
        <f>E1415/3.4528</f>
        <v>1.9093876932451326</v>
      </c>
    </row>
    <row r="1417" spans="1:5" ht="18.75" hidden="1" x14ac:dyDescent="0.35">
      <c r="A1417" s="349" t="s">
        <v>63</v>
      </c>
      <c r="B1417" s="355" t="s">
        <v>64</v>
      </c>
      <c r="C1417" s="346" t="s">
        <v>59</v>
      </c>
      <c r="D1417" s="334" t="s">
        <v>174</v>
      </c>
      <c r="E1417" s="548">
        <v>2.44</v>
      </c>
    </row>
    <row r="1418" spans="1:5" ht="15.75" hidden="1" x14ac:dyDescent="0.25">
      <c r="A1418" s="350"/>
      <c r="B1418" s="356"/>
      <c r="C1418" s="342" t="s">
        <v>292</v>
      </c>
      <c r="D1418" s="335"/>
      <c r="E1418" s="566">
        <f>E1417/3.4528</f>
        <v>0.70667284522706209</v>
      </c>
    </row>
    <row r="1419" spans="1:5" ht="18.75" hidden="1" x14ac:dyDescent="0.25">
      <c r="A1419" s="349" t="s">
        <v>65</v>
      </c>
      <c r="B1419" s="357" t="s">
        <v>66</v>
      </c>
      <c r="C1419" s="346" t="s">
        <v>59</v>
      </c>
      <c r="D1419" s="351" t="s">
        <v>279</v>
      </c>
      <c r="E1419" s="572">
        <f>0.41+(7.24*E1382/37.6)</f>
        <v>4.1527338272367942</v>
      </c>
    </row>
    <row r="1420" spans="1:5" ht="15.75" hidden="1" x14ac:dyDescent="0.25">
      <c r="A1420" s="350"/>
      <c r="B1420" s="358"/>
      <c r="C1420" s="342" t="s">
        <v>292</v>
      </c>
      <c r="D1420" s="352"/>
      <c r="E1420" s="566">
        <f>E1419/3.4528</f>
        <v>1.2027148480180707</v>
      </c>
    </row>
    <row r="1421" spans="1:5" hidden="1" x14ac:dyDescent="0.25">
      <c r="A1421" s="347" t="s">
        <v>67</v>
      </c>
      <c r="B1421" s="348" t="s">
        <v>68</v>
      </c>
      <c r="C1421" s="9"/>
      <c r="D1421" s="44"/>
      <c r="E1421" s="544"/>
    </row>
    <row r="1422" spans="1:5" hidden="1" x14ac:dyDescent="0.25">
      <c r="A1422" s="12" t="s">
        <v>69</v>
      </c>
      <c r="B1422" s="17" t="s">
        <v>55</v>
      </c>
      <c r="C1422" s="10" t="s">
        <v>56</v>
      </c>
      <c r="D1422" s="24"/>
      <c r="E1422" s="550">
        <v>16.100000000000001</v>
      </c>
    </row>
    <row r="1423" spans="1:5" ht="18.75" hidden="1" x14ac:dyDescent="0.35">
      <c r="A1423" s="12" t="s">
        <v>70</v>
      </c>
      <c r="B1423" s="17" t="s">
        <v>71</v>
      </c>
      <c r="C1423" s="11" t="s">
        <v>59</v>
      </c>
      <c r="D1423" s="122" t="s">
        <v>176</v>
      </c>
      <c r="E1423" s="550">
        <f>E1419</f>
        <v>4.1527338272367942</v>
      </c>
    </row>
    <row r="1424" spans="1:5" hidden="1" x14ac:dyDescent="0.25">
      <c r="A1424" s="317" t="s">
        <v>72</v>
      </c>
      <c r="B1424" s="869" t="s">
        <v>73</v>
      </c>
      <c r="C1424" s="870"/>
      <c r="D1424" s="870"/>
      <c r="E1424" s="871"/>
    </row>
    <row r="1425" spans="1:5" hidden="1" x14ac:dyDescent="0.25">
      <c r="A1425" s="864" t="s">
        <v>79</v>
      </c>
      <c r="B1425" s="18" t="s">
        <v>74</v>
      </c>
      <c r="C1425" s="11" t="s">
        <v>59</v>
      </c>
      <c r="D1425" s="124" t="s">
        <v>106</v>
      </c>
      <c r="E1425" s="558">
        <v>0.31</v>
      </c>
    </row>
    <row r="1426" spans="1:5" hidden="1" x14ac:dyDescent="0.25">
      <c r="A1426" s="865"/>
      <c r="B1426" s="19" t="s">
        <v>75</v>
      </c>
      <c r="C1426" s="53" t="s">
        <v>76</v>
      </c>
      <c r="D1426" s="124" t="s">
        <v>106</v>
      </c>
      <c r="E1426" s="558">
        <v>2.34</v>
      </c>
    </row>
    <row r="1427" spans="1:5" ht="15.75" hidden="1" thickBot="1" x14ac:dyDescent="0.3">
      <c r="A1427" s="865"/>
      <c r="B1427" s="19" t="s">
        <v>300</v>
      </c>
      <c r="C1427" s="123" t="s">
        <v>78</v>
      </c>
      <c r="D1427" s="124" t="s">
        <v>106</v>
      </c>
      <c r="E1427" s="558">
        <v>46.34</v>
      </c>
    </row>
    <row r="1428" spans="1:5" hidden="1" x14ac:dyDescent="0.25">
      <c r="A1428" s="317" t="s">
        <v>80</v>
      </c>
      <c r="B1428" s="127" t="s">
        <v>81</v>
      </c>
      <c r="C1428" s="11" t="s">
        <v>59</v>
      </c>
      <c r="D1428" s="62"/>
      <c r="E1428" s="558">
        <v>-7.0000000000000007E-2</v>
      </c>
    </row>
    <row r="1429" spans="1:5" hidden="1" x14ac:dyDescent="0.25">
      <c r="A1429" s="317" t="s">
        <v>82</v>
      </c>
      <c r="B1429" s="127" t="s">
        <v>83</v>
      </c>
      <c r="C1429" s="11" t="s">
        <v>59</v>
      </c>
      <c r="D1429" s="62"/>
      <c r="E1429" s="558">
        <v>-0.14000000000000001</v>
      </c>
    </row>
    <row r="1430" spans="1:5" hidden="1" x14ac:dyDescent="0.25">
      <c r="A1430" s="366" t="s">
        <v>84</v>
      </c>
      <c r="B1430" s="361" t="s">
        <v>267</v>
      </c>
      <c r="C1430" s="359" t="s">
        <v>59</v>
      </c>
      <c r="D1430" s="62"/>
      <c r="E1430" s="559">
        <f>E1382+E1415+E1425+E1428+E1429</f>
        <v>26.130136023936164</v>
      </c>
    </row>
    <row r="1431" spans="1:5" hidden="1" x14ac:dyDescent="0.25">
      <c r="A1431" s="364"/>
      <c r="B1431" s="363"/>
      <c r="C1431" s="342" t="s">
        <v>292</v>
      </c>
      <c r="D1431" s="62"/>
      <c r="E1431" s="573">
        <f>E1430/3.4528</f>
        <v>7.5678104795922625</v>
      </c>
    </row>
    <row r="1432" spans="1:5" hidden="1" x14ac:dyDescent="0.25">
      <c r="A1432" s="365" t="s">
        <v>85</v>
      </c>
      <c r="B1432" s="127" t="s">
        <v>86</v>
      </c>
      <c r="C1432" s="359" t="s">
        <v>59</v>
      </c>
      <c r="D1432" s="62"/>
      <c r="E1432" s="558">
        <v>0</v>
      </c>
    </row>
    <row r="1433" spans="1:5" hidden="1" x14ac:dyDescent="0.25">
      <c r="A1433" s="366" t="s">
        <v>87</v>
      </c>
      <c r="B1433" s="361" t="s">
        <v>88</v>
      </c>
      <c r="C1433" s="360" t="s">
        <v>59</v>
      </c>
      <c r="D1433" s="129"/>
      <c r="E1433" s="559">
        <f>E1430</f>
        <v>26.130136023936164</v>
      </c>
    </row>
    <row r="1434" spans="1:5" hidden="1" x14ac:dyDescent="0.25">
      <c r="A1434" s="364"/>
      <c r="B1434" s="363"/>
      <c r="C1434" s="342" t="s">
        <v>292</v>
      </c>
      <c r="D1434" s="129"/>
      <c r="E1434" s="573">
        <f>E1433/3.4528</f>
        <v>7.5678104795922625</v>
      </c>
    </row>
    <row r="1435" spans="1:5" hidden="1" x14ac:dyDescent="0.25">
      <c r="A1435" s="366" t="s">
        <v>89</v>
      </c>
      <c r="B1435" s="361" t="s">
        <v>90</v>
      </c>
      <c r="C1435" s="360" t="s">
        <v>59</v>
      </c>
      <c r="D1435" s="129"/>
      <c r="E1435" s="560">
        <f>E1433*1.09</f>
        <v>28.48184826609042</v>
      </c>
    </row>
    <row r="1436" spans="1:5" hidden="1" x14ac:dyDescent="0.25">
      <c r="A1436" s="367"/>
      <c r="B1436" s="368"/>
      <c r="C1436" s="342" t="s">
        <v>292</v>
      </c>
      <c r="D1436" s="129"/>
      <c r="E1436" s="573">
        <f>E1435/3.4528</f>
        <v>8.2489134227555674</v>
      </c>
    </row>
    <row r="1437" spans="1:5" hidden="1" x14ac:dyDescent="0.25">
      <c r="A1437" s="366" t="s">
        <v>91</v>
      </c>
      <c r="B1437" s="361" t="s">
        <v>92</v>
      </c>
      <c r="C1437" s="360" t="s">
        <v>59</v>
      </c>
      <c r="D1437" s="129"/>
      <c r="E1437" s="560">
        <f>E1343</f>
        <v>25.57</v>
      </c>
    </row>
    <row r="1438" spans="1:5" hidden="1" x14ac:dyDescent="0.25">
      <c r="A1438" s="364"/>
      <c r="B1438" s="363"/>
      <c r="C1438" s="342" t="s">
        <v>292</v>
      </c>
      <c r="D1438" s="129"/>
      <c r="E1438" s="573">
        <f>E1437/3.4528</f>
        <v>7.4055838739573687</v>
      </c>
    </row>
    <row r="1439" spans="1:5" hidden="1" x14ac:dyDescent="0.25">
      <c r="A1439" s="362" t="s">
        <v>93</v>
      </c>
      <c r="B1439" s="363" t="s">
        <v>94</v>
      </c>
      <c r="C1439" s="126" t="s">
        <v>95</v>
      </c>
      <c r="D1439" s="129"/>
      <c r="E1439" s="560">
        <f>(E1430/E1437)*100-100</f>
        <v>2.1905984510604668</v>
      </c>
    </row>
    <row r="1440" spans="1:5" hidden="1" x14ac:dyDescent="0.25">
      <c r="A1440" s="317" t="s">
        <v>96</v>
      </c>
      <c r="B1440" s="128" t="s">
        <v>97</v>
      </c>
      <c r="C1440" s="130" t="s">
        <v>98</v>
      </c>
      <c r="D1440" s="131"/>
      <c r="E1440" s="565">
        <v>1.0089999999999999</v>
      </c>
    </row>
    <row r="1441" spans="1:5" hidden="1" x14ac:dyDescent="0.25">
      <c r="A1441" s="317" t="s">
        <v>99</v>
      </c>
      <c r="B1441" s="128" t="s">
        <v>100</v>
      </c>
      <c r="C1441" s="125" t="s">
        <v>98</v>
      </c>
      <c r="D1441" s="62"/>
      <c r="E1441" s="565">
        <v>0.74889099999999997</v>
      </c>
    </row>
    <row r="1442" spans="1:5" ht="15.75" hidden="1" thickBot="1" x14ac:dyDescent="0.3">
      <c r="A1442" s="22" t="s">
        <v>101</v>
      </c>
      <c r="B1442" s="23" t="s">
        <v>102</v>
      </c>
      <c r="C1442" s="318" t="s">
        <v>98</v>
      </c>
      <c r="D1442" s="319"/>
      <c r="E1442" s="562">
        <v>0</v>
      </c>
    </row>
    <row r="1443" spans="1:5" hidden="1" x14ac:dyDescent="0.25"/>
    <row r="1444" spans="1:5" hidden="1" x14ac:dyDescent="0.25"/>
    <row r="1445" spans="1:5" hidden="1" x14ac:dyDescent="0.25">
      <c r="B1445" s="329"/>
      <c r="C1445" s="330"/>
      <c r="D1445" s="330"/>
    </row>
    <row r="1446" spans="1:5" hidden="1" x14ac:dyDescent="0.25"/>
    <row r="1447" spans="1:5" hidden="1" x14ac:dyDescent="0.25"/>
    <row r="1448" spans="1:5" hidden="1" x14ac:dyDescent="0.25"/>
    <row r="1449" spans="1:5" hidden="1" x14ac:dyDescent="0.25"/>
    <row r="1450" spans="1:5" hidden="1" x14ac:dyDescent="0.25"/>
    <row r="1451" spans="1:5" hidden="1" x14ac:dyDescent="0.25">
      <c r="B1451" t="s">
        <v>189</v>
      </c>
      <c r="C1451" t="s">
        <v>193</v>
      </c>
      <c r="D1451" s="146" t="s">
        <v>190</v>
      </c>
    </row>
    <row r="1452" spans="1:5" hidden="1" x14ac:dyDescent="0.25">
      <c r="C1452" s="153" t="s">
        <v>194</v>
      </c>
    </row>
    <row r="1453" spans="1:5" hidden="1" x14ac:dyDescent="0.25"/>
    <row r="1454" spans="1:5" hidden="1" x14ac:dyDescent="0.25">
      <c r="A1454" s="132" t="s">
        <v>0</v>
      </c>
      <c r="B1454" s="132"/>
      <c r="C1454" s="132"/>
      <c r="D1454" s="132"/>
      <c r="E1454" s="480" t="s">
        <v>107</v>
      </c>
    </row>
    <row r="1455" spans="1:5" hidden="1" x14ac:dyDescent="0.25">
      <c r="A1455" s="132" t="s">
        <v>1</v>
      </c>
      <c r="B1455" s="132"/>
      <c r="C1455" s="132"/>
      <c r="D1455" s="132" t="s">
        <v>178</v>
      </c>
      <c r="E1455" s="519"/>
    </row>
    <row r="1456" spans="1:5" hidden="1" x14ac:dyDescent="0.25">
      <c r="A1456" s="132" t="s">
        <v>2</v>
      </c>
      <c r="B1456" s="132"/>
      <c r="C1456" s="132"/>
      <c r="D1456" s="132"/>
      <c r="E1456" s="520"/>
    </row>
    <row r="1457" spans="1:5" hidden="1" x14ac:dyDescent="0.25">
      <c r="A1457" s="132" t="s">
        <v>3</v>
      </c>
      <c r="B1457" s="132"/>
      <c r="C1457" s="132"/>
      <c r="D1457" s="132" t="s">
        <v>168</v>
      </c>
      <c r="E1457" s="519"/>
    </row>
    <row r="1458" spans="1:5" hidden="1" x14ac:dyDescent="0.25">
      <c r="A1458" s="132" t="s">
        <v>4</v>
      </c>
      <c r="B1458" s="132"/>
      <c r="C1458" s="132"/>
      <c r="D1458" s="132" t="s">
        <v>169</v>
      </c>
      <c r="E1458" s="519"/>
    </row>
    <row r="1459" spans="1:5" hidden="1" x14ac:dyDescent="0.25">
      <c r="A1459" s="152" t="s">
        <v>192</v>
      </c>
      <c r="B1459" s="132"/>
      <c r="C1459" s="132"/>
      <c r="D1459" s="132"/>
      <c r="E1459" s="519"/>
    </row>
    <row r="1460" spans="1:5" hidden="1" x14ac:dyDescent="0.25">
      <c r="A1460" s="132" t="s">
        <v>5</v>
      </c>
      <c r="B1460" s="132"/>
      <c r="C1460" s="132"/>
      <c r="D1460" s="132" t="s">
        <v>299</v>
      </c>
      <c r="E1460" s="519"/>
    </row>
    <row r="1461" spans="1:5" hidden="1" x14ac:dyDescent="0.25">
      <c r="A1461" s="1"/>
      <c r="B1461" s="1"/>
      <c r="C1461" s="1"/>
      <c r="D1461" s="1"/>
      <c r="E1461" s="463"/>
    </row>
    <row r="1462" spans="1:5" ht="15.75" hidden="1" x14ac:dyDescent="0.25">
      <c r="A1462" s="141" t="s">
        <v>296</v>
      </c>
      <c r="B1462" s="141" t="s">
        <v>303</v>
      </c>
      <c r="C1462" s="2"/>
      <c r="D1462" s="2"/>
    </row>
    <row r="1463" spans="1:5" ht="15.75" hidden="1" x14ac:dyDescent="0.25">
      <c r="A1463" s="141"/>
      <c r="B1463" s="141"/>
      <c r="C1463" s="328">
        <v>41961</v>
      </c>
      <c r="D1463" s="2"/>
    </row>
    <row r="1464" spans="1:5" ht="15.75" hidden="1" x14ac:dyDescent="0.25">
      <c r="A1464" s="141"/>
      <c r="B1464" s="141"/>
      <c r="C1464" s="151" t="s">
        <v>191</v>
      </c>
      <c r="D1464" s="2"/>
    </row>
    <row r="1465" spans="1:5" hidden="1" x14ac:dyDescent="0.25">
      <c r="A1465" s="2" t="s">
        <v>6</v>
      </c>
      <c r="B1465" s="2"/>
      <c r="C1465" s="2"/>
      <c r="D1465" s="2"/>
      <c r="E1465" s="522"/>
    </row>
    <row r="1466" spans="1:5" hidden="1" x14ac:dyDescent="0.25">
      <c r="A1466" s="1" t="s">
        <v>260</v>
      </c>
      <c r="B1466" s="1"/>
      <c r="C1466" s="1"/>
      <c r="D1466" s="1"/>
      <c r="E1466" s="463"/>
    </row>
    <row r="1467" spans="1:5" hidden="1" x14ac:dyDescent="0.25">
      <c r="A1467" s="1" t="s">
        <v>7</v>
      </c>
      <c r="B1467" s="1"/>
      <c r="C1467" s="1"/>
      <c r="D1467" s="1"/>
      <c r="E1467" s="463"/>
    </row>
    <row r="1468" spans="1:5" hidden="1" x14ac:dyDescent="0.25">
      <c r="A1468" s="326" t="s">
        <v>281</v>
      </c>
      <c r="B1468" s="326"/>
      <c r="C1468" s="326"/>
      <c r="D1468" s="326"/>
      <c r="E1468" s="564"/>
    </row>
    <row r="1469" spans="1:5" hidden="1" x14ac:dyDescent="0.25">
      <c r="A1469" s="238" t="s">
        <v>8</v>
      </c>
      <c r="B1469" s="239" t="s">
        <v>9</v>
      </c>
      <c r="C1469" s="239" t="s">
        <v>10</v>
      </c>
      <c r="D1469" s="239" t="s">
        <v>11</v>
      </c>
      <c r="E1469" s="543" t="s">
        <v>12</v>
      </c>
    </row>
    <row r="1470" spans="1:5" hidden="1" x14ac:dyDescent="0.25">
      <c r="A1470" s="242">
        <v>1</v>
      </c>
      <c r="B1470" s="24">
        <v>2</v>
      </c>
      <c r="C1470" s="24">
        <v>3</v>
      </c>
      <c r="D1470" s="24">
        <v>4</v>
      </c>
      <c r="E1470" s="544">
        <v>5</v>
      </c>
    </row>
    <row r="1471" spans="1:5" hidden="1" x14ac:dyDescent="0.25">
      <c r="A1471" s="370" t="s">
        <v>13</v>
      </c>
      <c r="B1471" s="371" t="s">
        <v>14</v>
      </c>
      <c r="C1471" s="26"/>
      <c r="D1471" s="26"/>
      <c r="E1471" s="545"/>
    </row>
    <row r="1472" spans="1:5" ht="17.25" hidden="1" x14ac:dyDescent="0.3">
      <c r="A1472" s="374" t="s">
        <v>15</v>
      </c>
      <c r="B1472" s="380" t="s">
        <v>183</v>
      </c>
      <c r="C1472" s="360" t="s">
        <v>59</v>
      </c>
      <c r="D1472" s="308" t="s">
        <v>179</v>
      </c>
      <c r="E1472" s="546">
        <f>E1474+E1476</f>
        <v>19.234552397413022</v>
      </c>
    </row>
    <row r="1473" spans="1:5" ht="15.75" hidden="1" x14ac:dyDescent="0.25">
      <c r="A1473" s="375"/>
      <c r="B1473" s="381"/>
      <c r="C1473" s="369" t="s">
        <v>292</v>
      </c>
      <c r="D1473" s="332"/>
      <c r="E1473" s="566">
        <f>E1472/3.4528</f>
        <v>5.5707114218642904</v>
      </c>
    </row>
    <row r="1474" spans="1:5" ht="18.75" hidden="1" x14ac:dyDescent="0.35">
      <c r="A1474" s="376" t="s">
        <v>16</v>
      </c>
      <c r="B1474" s="38" t="s">
        <v>18</v>
      </c>
      <c r="C1474" s="346" t="s">
        <v>59</v>
      </c>
      <c r="D1474" s="334" t="s">
        <v>171</v>
      </c>
      <c r="E1474" s="567">
        <v>4.57</v>
      </c>
    </row>
    <row r="1475" spans="1:5" ht="15.75" hidden="1" x14ac:dyDescent="0.25">
      <c r="A1475" s="377"/>
      <c r="B1475" s="382"/>
      <c r="C1475" s="342" t="s">
        <v>292</v>
      </c>
      <c r="D1475" s="336"/>
      <c r="E1475" s="568">
        <f>E1474/3.4528</f>
        <v>1.3235634847080631</v>
      </c>
    </row>
    <row r="1476" spans="1:5" ht="33" hidden="1" x14ac:dyDescent="0.25">
      <c r="A1476" s="378" t="s">
        <v>17</v>
      </c>
      <c r="B1476" s="410" t="s">
        <v>19</v>
      </c>
      <c r="C1476" s="331" t="s">
        <v>59</v>
      </c>
      <c r="D1476" s="338" t="s">
        <v>278</v>
      </c>
      <c r="E1476" s="569">
        <f>0.29+((4325*E1482+226*E1490+106.1*E1486+509*E1494)/(44.84*1000))/10</f>
        <v>14.664552397413022</v>
      </c>
    </row>
    <row r="1477" spans="1:5" hidden="1" x14ac:dyDescent="0.25">
      <c r="A1477" s="379"/>
      <c r="B1477" s="384"/>
      <c r="C1477" s="342" t="s">
        <v>292</v>
      </c>
      <c r="D1477" s="339"/>
      <c r="E1477" s="570">
        <f>E1476/3.4528</f>
        <v>4.2471479371562273</v>
      </c>
    </row>
    <row r="1478" spans="1:5" hidden="1" x14ac:dyDescent="0.25">
      <c r="A1478" s="372" t="s">
        <v>21</v>
      </c>
      <c r="B1478" s="373" t="s">
        <v>22</v>
      </c>
      <c r="C1478" s="31"/>
      <c r="D1478" s="337"/>
      <c r="E1478" s="548"/>
    </row>
    <row r="1479" spans="1:5" hidden="1" x14ac:dyDescent="0.25">
      <c r="A1479" s="311" t="s">
        <v>23</v>
      </c>
      <c r="B1479" s="48" t="s">
        <v>24</v>
      </c>
      <c r="C1479" s="49"/>
      <c r="D1479" s="49"/>
      <c r="E1479" s="549"/>
    </row>
    <row r="1480" spans="1:5" hidden="1" x14ac:dyDescent="0.25">
      <c r="A1480" s="309" t="s">
        <v>25</v>
      </c>
      <c r="B1480" s="24" t="s">
        <v>26</v>
      </c>
      <c r="C1480" s="32" t="s">
        <v>41</v>
      </c>
      <c r="D1480" s="24"/>
      <c r="E1480" s="550">
        <v>1053</v>
      </c>
    </row>
    <row r="1481" spans="1:5" hidden="1" x14ac:dyDescent="0.25">
      <c r="A1481" s="309" t="s">
        <v>27</v>
      </c>
      <c r="B1481" s="24" t="s">
        <v>28</v>
      </c>
      <c r="C1481" s="5" t="s">
        <v>41</v>
      </c>
      <c r="D1481" s="24"/>
      <c r="E1481" s="544">
        <v>313.23</v>
      </c>
    </row>
    <row r="1482" spans="1:5" hidden="1" x14ac:dyDescent="0.25">
      <c r="A1482" s="309" t="s">
        <v>29</v>
      </c>
      <c r="B1482" s="38" t="s">
        <v>30</v>
      </c>
      <c r="C1482" s="39" t="s">
        <v>41</v>
      </c>
      <c r="D1482" s="24"/>
      <c r="E1482" s="551">
        <f>E1480+E1481</f>
        <v>1366.23</v>
      </c>
    </row>
    <row r="1483" spans="1:5" hidden="1" x14ac:dyDescent="0.25">
      <c r="A1483" s="312" t="s">
        <v>31</v>
      </c>
      <c r="B1483" s="41" t="s">
        <v>265</v>
      </c>
      <c r="C1483" s="42"/>
      <c r="D1483" s="42"/>
      <c r="E1483" s="552"/>
    </row>
    <row r="1484" spans="1:5" hidden="1" x14ac:dyDescent="0.25">
      <c r="A1484" s="309" t="s">
        <v>35</v>
      </c>
      <c r="B1484" s="24" t="s">
        <v>26</v>
      </c>
      <c r="C1484" s="40" t="s">
        <v>33</v>
      </c>
      <c r="D1484" s="24"/>
      <c r="E1484" s="550"/>
    </row>
    <row r="1485" spans="1:5" hidden="1" x14ac:dyDescent="0.25">
      <c r="A1485" s="309" t="s">
        <v>36</v>
      </c>
      <c r="B1485" s="24" t="s">
        <v>28</v>
      </c>
      <c r="C1485" s="4" t="s">
        <v>33</v>
      </c>
      <c r="D1485" s="24"/>
      <c r="E1485" s="550"/>
    </row>
    <row r="1486" spans="1:5" hidden="1" x14ac:dyDescent="0.25">
      <c r="A1486" s="309" t="s">
        <v>37</v>
      </c>
      <c r="B1486" s="24" t="s">
        <v>30</v>
      </c>
      <c r="C1486" s="43" t="s">
        <v>33</v>
      </c>
      <c r="D1486" s="24"/>
      <c r="E1486" s="551">
        <v>593.75</v>
      </c>
    </row>
    <row r="1487" spans="1:5" hidden="1" x14ac:dyDescent="0.25">
      <c r="A1487" s="312" t="s">
        <v>31</v>
      </c>
      <c r="B1487" s="41" t="s">
        <v>266</v>
      </c>
      <c r="C1487" s="42"/>
      <c r="D1487" s="42"/>
      <c r="E1487" s="552"/>
    </row>
    <row r="1488" spans="1:5" hidden="1" x14ac:dyDescent="0.25">
      <c r="A1488" s="309" t="s">
        <v>35</v>
      </c>
      <c r="B1488" s="24" t="s">
        <v>26</v>
      </c>
      <c r="C1488" s="40" t="s">
        <v>33</v>
      </c>
      <c r="D1488" s="24"/>
      <c r="E1488" s="550"/>
    </row>
    <row r="1489" spans="1:5" hidden="1" x14ac:dyDescent="0.25">
      <c r="A1489" s="309" t="s">
        <v>36</v>
      </c>
      <c r="B1489" s="24" t="s">
        <v>28</v>
      </c>
      <c r="C1489" s="4" t="s">
        <v>33</v>
      </c>
      <c r="D1489" s="24"/>
      <c r="E1489" s="550"/>
    </row>
    <row r="1490" spans="1:5" hidden="1" x14ac:dyDescent="0.25">
      <c r="A1490" s="309" t="s">
        <v>37</v>
      </c>
      <c r="B1490" s="24" t="s">
        <v>30</v>
      </c>
      <c r="C1490" s="43" t="s">
        <v>33</v>
      </c>
      <c r="D1490" s="24"/>
      <c r="E1490" s="551">
        <v>592.37</v>
      </c>
    </row>
    <row r="1491" spans="1:5" hidden="1" x14ac:dyDescent="0.25">
      <c r="A1491" s="313" t="s">
        <v>34</v>
      </c>
      <c r="B1491" s="45" t="s">
        <v>103</v>
      </c>
      <c r="C1491" s="46"/>
      <c r="D1491" s="46"/>
      <c r="E1491" s="553"/>
    </row>
    <row r="1492" spans="1:5" hidden="1" x14ac:dyDescent="0.25">
      <c r="A1492" s="314" t="s">
        <v>38</v>
      </c>
      <c r="B1492" s="44" t="s">
        <v>26</v>
      </c>
      <c r="C1492" s="40" t="s">
        <v>33</v>
      </c>
      <c r="D1492" s="24"/>
      <c r="E1492" s="550">
        <f>Lapas3!D1360</f>
        <v>0</v>
      </c>
    </row>
    <row r="1493" spans="1:5" hidden="1" x14ac:dyDescent="0.25">
      <c r="A1493" s="314" t="s">
        <v>39</v>
      </c>
      <c r="B1493" s="24" t="s">
        <v>28</v>
      </c>
      <c r="C1493" s="4" t="s">
        <v>33</v>
      </c>
      <c r="D1493" s="24"/>
      <c r="E1493" s="544"/>
    </row>
    <row r="1494" spans="1:5" hidden="1" x14ac:dyDescent="0.25">
      <c r="A1494" s="21" t="s">
        <v>40</v>
      </c>
      <c r="B1494" s="38" t="s">
        <v>30</v>
      </c>
      <c r="C1494" s="43" t="s">
        <v>33</v>
      </c>
      <c r="D1494" s="24"/>
      <c r="E1494" s="551">
        <v>667.45</v>
      </c>
    </row>
    <row r="1495" spans="1:5" hidden="1" x14ac:dyDescent="0.25">
      <c r="A1495" s="315" t="s">
        <v>42</v>
      </c>
      <c r="B1495" s="51" t="s">
        <v>43</v>
      </c>
      <c r="C1495" s="52"/>
      <c r="D1495" s="52"/>
      <c r="E1495" s="554"/>
    </row>
    <row r="1496" spans="1:5" hidden="1" x14ac:dyDescent="0.25">
      <c r="A1496" s="242" t="s">
        <v>44</v>
      </c>
      <c r="B1496" s="24" t="s">
        <v>104</v>
      </c>
      <c r="C1496" s="24"/>
      <c r="D1496" s="24"/>
      <c r="E1496" s="555" t="s">
        <v>106</v>
      </c>
    </row>
    <row r="1497" spans="1:5" hidden="1" x14ac:dyDescent="0.25">
      <c r="A1497" s="242" t="s">
        <v>45</v>
      </c>
      <c r="B1497" s="24" t="s">
        <v>105</v>
      </c>
      <c r="C1497" s="11" t="s">
        <v>59</v>
      </c>
      <c r="D1497" s="24"/>
      <c r="E1497" s="544">
        <v>0</v>
      </c>
    </row>
    <row r="1498" spans="1:5" ht="17.25" hidden="1" x14ac:dyDescent="0.3">
      <c r="A1498" s="316" t="s">
        <v>46</v>
      </c>
      <c r="B1498" s="136" t="s">
        <v>172</v>
      </c>
      <c r="C1498" s="139" t="s">
        <v>59</v>
      </c>
      <c r="D1498" s="140" t="s">
        <v>181</v>
      </c>
      <c r="E1498" s="563">
        <f>E1499+E1500</f>
        <v>19.234552397413022</v>
      </c>
    </row>
    <row r="1499" spans="1:5" ht="18.75" hidden="1" x14ac:dyDescent="0.35">
      <c r="A1499" s="242" t="s">
        <v>48</v>
      </c>
      <c r="B1499" s="24" t="s">
        <v>49</v>
      </c>
      <c r="C1499" s="53" t="s">
        <v>59</v>
      </c>
      <c r="D1499" s="122" t="s">
        <v>173</v>
      </c>
      <c r="E1499" s="550">
        <f>E1474</f>
        <v>4.57</v>
      </c>
    </row>
    <row r="1500" spans="1:5" ht="33" hidden="1" x14ac:dyDescent="0.25">
      <c r="A1500" s="310" t="s">
        <v>50</v>
      </c>
      <c r="B1500" s="35" t="s">
        <v>51</v>
      </c>
      <c r="C1500" s="27" t="s">
        <v>59</v>
      </c>
      <c r="D1500" s="54" t="s">
        <v>278</v>
      </c>
      <c r="E1500" s="557">
        <f>E1476</f>
        <v>14.664552397413022</v>
      </c>
    </row>
    <row r="1501" spans="1:5" hidden="1" x14ac:dyDescent="0.25">
      <c r="A1501" s="242" t="s">
        <v>52</v>
      </c>
      <c r="B1501" s="55" t="s">
        <v>53</v>
      </c>
      <c r="C1501" s="33"/>
      <c r="D1501" s="33"/>
      <c r="E1501" s="548"/>
    </row>
    <row r="1502" spans="1:5" hidden="1" x14ac:dyDescent="0.25">
      <c r="A1502" s="242" t="s">
        <v>54</v>
      </c>
      <c r="B1502" s="24" t="s">
        <v>55</v>
      </c>
      <c r="C1502" s="11" t="s">
        <v>56</v>
      </c>
      <c r="D1502" s="24"/>
      <c r="E1502" s="544">
        <v>33.340000000000003</v>
      </c>
    </row>
    <row r="1503" spans="1:5" hidden="1" x14ac:dyDescent="0.25">
      <c r="A1503" s="242" t="s">
        <v>57</v>
      </c>
      <c r="B1503" s="24" t="s">
        <v>58</v>
      </c>
      <c r="C1503" s="11" t="s">
        <v>59</v>
      </c>
      <c r="D1503" s="56" t="s">
        <v>47</v>
      </c>
      <c r="E1503" s="550">
        <f>E1500</f>
        <v>14.664552397413022</v>
      </c>
    </row>
    <row r="1504" spans="1:5" hidden="1" x14ac:dyDescent="0.25">
      <c r="A1504" s="307" t="s">
        <v>60</v>
      </c>
      <c r="B1504" s="866" t="s">
        <v>61</v>
      </c>
      <c r="C1504" s="867"/>
      <c r="D1504" s="867"/>
      <c r="E1504" s="868"/>
    </row>
    <row r="1505" spans="1:5" ht="17.25" hidden="1" x14ac:dyDescent="0.3">
      <c r="A1505" s="353" t="s">
        <v>62</v>
      </c>
      <c r="B1505" s="343" t="s">
        <v>182</v>
      </c>
      <c r="C1505" s="344" t="s">
        <v>59</v>
      </c>
      <c r="D1505" s="340" t="s">
        <v>180</v>
      </c>
      <c r="E1505" s="571">
        <f>E1507+E1509</f>
        <v>6.553674450991231</v>
      </c>
    </row>
    <row r="1506" spans="1:5" ht="15.75" hidden="1" x14ac:dyDescent="0.25">
      <c r="A1506" s="345"/>
      <c r="B1506" s="354"/>
      <c r="C1506" s="342" t="s">
        <v>292</v>
      </c>
      <c r="D1506" s="341"/>
      <c r="E1506" s="566">
        <f>E1505/3.4528</f>
        <v>1.8980753159729007</v>
      </c>
    </row>
    <row r="1507" spans="1:5" ht="18.75" hidden="1" x14ac:dyDescent="0.35">
      <c r="A1507" s="349" t="s">
        <v>63</v>
      </c>
      <c r="B1507" s="355" t="s">
        <v>64</v>
      </c>
      <c r="C1507" s="346" t="s">
        <v>59</v>
      </c>
      <c r="D1507" s="334" t="s">
        <v>174</v>
      </c>
      <c r="E1507" s="548">
        <v>2.44</v>
      </c>
    </row>
    <row r="1508" spans="1:5" ht="15.75" hidden="1" x14ac:dyDescent="0.25">
      <c r="A1508" s="350"/>
      <c r="B1508" s="356"/>
      <c r="C1508" s="342" t="s">
        <v>292</v>
      </c>
      <c r="D1508" s="335"/>
      <c r="E1508" s="566">
        <f>E1507/3.4528</f>
        <v>0.70667284522706209</v>
      </c>
    </row>
    <row r="1509" spans="1:5" ht="18.75" hidden="1" x14ac:dyDescent="0.25">
      <c r="A1509" s="349" t="s">
        <v>65</v>
      </c>
      <c r="B1509" s="357" t="s">
        <v>66</v>
      </c>
      <c r="C1509" s="346" t="s">
        <v>59</v>
      </c>
      <c r="D1509" s="351" t="s">
        <v>279</v>
      </c>
      <c r="E1509" s="572">
        <f>0.41+(7.24*E1472/37.6)</f>
        <v>4.1136744509912306</v>
      </c>
    </row>
    <row r="1510" spans="1:5" ht="15.75" hidden="1" x14ac:dyDescent="0.25">
      <c r="A1510" s="350"/>
      <c r="B1510" s="358"/>
      <c r="C1510" s="342" t="s">
        <v>292</v>
      </c>
      <c r="D1510" s="352"/>
      <c r="E1510" s="566">
        <f>E1509/3.4528</f>
        <v>1.1914024707458384</v>
      </c>
    </row>
    <row r="1511" spans="1:5" hidden="1" x14ac:dyDescent="0.25">
      <c r="A1511" s="347" t="s">
        <v>67</v>
      </c>
      <c r="B1511" s="348" t="s">
        <v>68</v>
      </c>
      <c r="C1511" s="9"/>
      <c r="D1511" s="44"/>
      <c r="E1511" s="544"/>
    </row>
    <row r="1512" spans="1:5" hidden="1" x14ac:dyDescent="0.25">
      <c r="A1512" s="12" t="s">
        <v>69</v>
      </c>
      <c r="B1512" s="17" t="s">
        <v>55</v>
      </c>
      <c r="C1512" s="10" t="s">
        <v>56</v>
      </c>
      <c r="D1512" s="24"/>
      <c r="E1512" s="550">
        <v>16.100000000000001</v>
      </c>
    </row>
    <row r="1513" spans="1:5" ht="18.75" hidden="1" x14ac:dyDescent="0.35">
      <c r="A1513" s="12" t="s">
        <v>70</v>
      </c>
      <c r="B1513" s="17" t="s">
        <v>71</v>
      </c>
      <c r="C1513" s="11" t="s">
        <v>59</v>
      </c>
      <c r="D1513" s="122" t="s">
        <v>176</v>
      </c>
      <c r="E1513" s="550">
        <f>E1509</f>
        <v>4.1136744509912306</v>
      </c>
    </row>
    <row r="1514" spans="1:5" hidden="1" x14ac:dyDescent="0.25">
      <c r="A1514" s="317" t="s">
        <v>72</v>
      </c>
      <c r="B1514" s="869" t="s">
        <v>73</v>
      </c>
      <c r="C1514" s="870"/>
      <c r="D1514" s="870"/>
      <c r="E1514" s="871"/>
    </row>
    <row r="1515" spans="1:5" hidden="1" x14ac:dyDescent="0.25">
      <c r="A1515" s="864" t="s">
        <v>79</v>
      </c>
      <c r="B1515" s="18" t="s">
        <v>74</v>
      </c>
      <c r="C1515" s="11" t="s">
        <v>59</v>
      </c>
      <c r="D1515" s="124" t="s">
        <v>106</v>
      </c>
      <c r="E1515" s="558">
        <v>0.31</v>
      </c>
    </row>
    <row r="1516" spans="1:5" hidden="1" x14ac:dyDescent="0.25">
      <c r="A1516" s="865"/>
      <c r="B1516" s="19" t="s">
        <v>75</v>
      </c>
      <c r="C1516" s="53" t="s">
        <v>76</v>
      </c>
      <c r="D1516" s="124" t="s">
        <v>106</v>
      </c>
      <c r="E1516" s="558">
        <v>2.34</v>
      </c>
    </row>
    <row r="1517" spans="1:5" ht="15.75" hidden="1" thickBot="1" x14ac:dyDescent="0.3">
      <c r="A1517" s="865"/>
      <c r="B1517" s="19" t="s">
        <v>300</v>
      </c>
      <c r="C1517" s="123" t="s">
        <v>78</v>
      </c>
      <c r="D1517" s="124" t="s">
        <v>106</v>
      </c>
      <c r="E1517" s="558">
        <v>46.34</v>
      </c>
    </row>
    <row r="1518" spans="1:5" hidden="1" x14ac:dyDescent="0.25">
      <c r="A1518" s="317" t="s">
        <v>80</v>
      </c>
      <c r="B1518" s="127" t="s">
        <v>81</v>
      </c>
      <c r="C1518" s="11" t="s">
        <v>59</v>
      </c>
      <c r="D1518" s="62"/>
      <c r="E1518" s="558">
        <v>-7.0000000000000007E-2</v>
      </c>
    </row>
    <row r="1519" spans="1:5" hidden="1" x14ac:dyDescent="0.25">
      <c r="A1519" s="317" t="s">
        <v>82</v>
      </c>
      <c r="B1519" s="127" t="s">
        <v>83</v>
      </c>
      <c r="C1519" s="11" t="s">
        <v>59</v>
      </c>
      <c r="D1519" s="62"/>
      <c r="E1519" s="558">
        <v>-0.14000000000000001</v>
      </c>
    </row>
    <row r="1520" spans="1:5" hidden="1" x14ac:dyDescent="0.25">
      <c r="A1520" s="366" t="s">
        <v>84</v>
      </c>
      <c r="B1520" s="361" t="s">
        <v>267</v>
      </c>
      <c r="C1520" s="359" t="s">
        <v>59</v>
      </c>
      <c r="D1520" s="62"/>
      <c r="E1520" s="559">
        <f>19.23+6.55+0.31-0.21</f>
        <v>25.88</v>
      </c>
    </row>
    <row r="1521" spans="1:5" hidden="1" x14ac:dyDescent="0.25">
      <c r="A1521" s="364"/>
      <c r="B1521" s="363"/>
      <c r="C1521" s="342" t="s">
        <v>292</v>
      </c>
      <c r="D1521" s="62"/>
      <c r="E1521" s="573">
        <f>E1520/3.4528</f>
        <v>7.4953660797034294</v>
      </c>
    </row>
    <row r="1522" spans="1:5" hidden="1" x14ac:dyDescent="0.25">
      <c r="A1522" s="365" t="s">
        <v>85</v>
      </c>
      <c r="B1522" s="127" t="s">
        <v>86</v>
      </c>
      <c r="C1522" s="359" t="s">
        <v>59</v>
      </c>
      <c r="D1522" s="62"/>
      <c r="E1522" s="558">
        <v>0</v>
      </c>
    </row>
    <row r="1523" spans="1:5" hidden="1" x14ac:dyDescent="0.25">
      <c r="A1523" s="366" t="s">
        <v>87</v>
      </c>
      <c r="B1523" s="361" t="s">
        <v>88</v>
      </c>
      <c r="C1523" s="360" t="s">
        <v>59</v>
      </c>
      <c r="D1523" s="129"/>
      <c r="E1523" s="559">
        <f>E1520</f>
        <v>25.88</v>
      </c>
    </row>
    <row r="1524" spans="1:5" hidden="1" x14ac:dyDescent="0.25">
      <c r="A1524" s="364"/>
      <c r="B1524" s="363"/>
      <c r="C1524" s="342" t="s">
        <v>292</v>
      </c>
      <c r="D1524" s="129"/>
      <c r="E1524" s="573">
        <f>E1523/3.4528</f>
        <v>7.4953660797034294</v>
      </c>
    </row>
    <row r="1525" spans="1:5" hidden="1" x14ac:dyDescent="0.25">
      <c r="A1525" s="366" t="s">
        <v>89</v>
      </c>
      <c r="B1525" s="361" t="s">
        <v>90</v>
      </c>
      <c r="C1525" s="360" t="s">
        <v>59</v>
      </c>
      <c r="D1525" s="129"/>
      <c r="E1525" s="560">
        <f>E1523*1.09</f>
        <v>28.209200000000003</v>
      </c>
    </row>
    <row r="1526" spans="1:5" hidden="1" x14ac:dyDescent="0.25">
      <c r="A1526" s="367"/>
      <c r="B1526" s="368"/>
      <c r="C1526" s="342" t="s">
        <v>292</v>
      </c>
      <c r="D1526" s="129"/>
      <c r="E1526" s="573">
        <f>E1525/3.4528</f>
        <v>8.1699490268767381</v>
      </c>
    </row>
    <row r="1527" spans="1:5" hidden="1" x14ac:dyDescent="0.25">
      <c r="A1527" s="366" t="s">
        <v>91</v>
      </c>
      <c r="B1527" s="361" t="s">
        <v>92</v>
      </c>
      <c r="C1527" s="360" t="s">
        <v>59</v>
      </c>
      <c r="D1527" s="129"/>
      <c r="E1527" s="560">
        <f>E1433</f>
        <v>26.130136023936164</v>
      </c>
    </row>
    <row r="1528" spans="1:5" hidden="1" x14ac:dyDescent="0.25">
      <c r="A1528" s="364"/>
      <c r="B1528" s="363"/>
      <c r="C1528" s="342" t="s">
        <v>292</v>
      </c>
      <c r="D1528" s="129"/>
      <c r="E1528" s="573">
        <f>E1527/3.4528</f>
        <v>7.5678104795922625</v>
      </c>
    </row>
    <row r="1529" spans="1:5" hidden="1" x14ac:dyDescent="0.25">
      <c r="A1529" s="362" t="s">
        <v>93</v>
      </c>
      <c r="B1529" s="363" t="s">
        <v>94</v>
      </c>
      <c r="C1529" s="126" t="s">
        <v>95</v>
      </c>
      <c r="D1529" s="129"/>
      <c r="E1529" s="560">
        <f>(E1520/E1527)*100-100</f>
        <v>-0.95727027102741147</v>
      </c>
    </row>
    <row r="1530" spans="1:5" hidden="1" x14ac:dyDescent="0.25">
      <c r="A1530" s="317" t="s">
        <v>96</v>
      </c>
      <c r="B1530" s="128" t="s">
        <v>97</v>
      </c>
      <c r="C1530" s="130" t="s">
        <v>98</v>
      </c>
      <c r="D1530" s="131"/>
      <c r="E1530" s="565">
        <v>2.4</v>
      </c>
    </row>
    <row r="1531" spans="1:5" hidden="1" x14ac:dyDescent="0.25">
      <c r="A1531" s="317" t="s">
        <v>99</v>
      </c>
      <c r="B1531" s="128" t="s">
        <v>100</v>
      </c>
      <c r="C1531" s="125" t="s">
        <v>98</v>
      </c>
      <c r="D1531" s="62"/>
      <c r="E1531" s="565">
        <v>1.9</v>
      </c>
    </row>
    <row r="1532" spans="1:5" ht="15.75" hidden="1" thickBot="1" x14ac:dyDescent="0.3">
      <c r="A1532" s="22" t="s">
        <v>101</v>
      </c>
      <c r="B1532" s="23" t="s">
        <v>102</v>
      </c>
      <c r="C1532" s="318" t="s">
        <v>98</v>
      </c>
      <c r="D1532" s="319"/>
      <c r="E1532" s="562">
        <v>0</v>
      </c>
    </row>
    <row r="1533" spans="1:5" hidden="1" x14ac:dyDescent="0.25"/>
    <row r="1534" spans="1:5" hidden="1" x14ac:dyDescent="0.25"/>
    <row r="1535" spans="1:5" hidden="1" x14ac:dyDescent="0.25">
      <c r="B1535" s="329"/>
      <c r="C1535" s="330"/>
      <c r="D1535" s="330"/>
    </row>
    <row r="1536" spans="1:5" hidden="1" x14ac:dyDescent="0.25"/>
    <row r="1537" spans="1:5" hidden="1" x14ac:dyDescent="0.25"/>
    <row r="1538" spans="1:5" hidden="1" x14ac:dyDescent="0.25"/>
    <row r="1539" spans="1:5" hidden="1" x14ac:dyDescent="0.25"/>
    <row r="1540" spans="1:5" hidden="1" x14ac:dyDescent="0.25"/>
    <row r="1541" spans="1:5" hidden="1" x14ac:dyDescent="0.25">
      <c r="B1541" t="s">
        <v>189</v>
      </c>
      <c r="C1541" t="s">
        <v>193</v>
      </c>
      <c r="D1541" s="146" t="s">
        <v>190</v>
      </c>
    </row>
    <row r="1542" spans="1:5" hidden="1" x14ac:dyDescent="0.25">
      <c r="C1542" s="153" t="s">
        <v>194</v>
      </c>
    </row>
    <row r="1543" spans="1:5" hidden="1" x14ac:dyDescent="0.25"/>
    <row r="1544" spans="1:5" hidden="1" x14ac:dyDescent="0.25">
      <c r="A1544" s="132" t="s">
        <v>0</v>
      </c>
      <c r="B1544" s="132"/>
      <c r="C1544" s="132"/>
      <c r="D1544" s="132"/>
      <c r="E1544" s="480" t="s">
        <v>107</v>
      </c>
    </row>
    <row r="1545" spans="1:5" hidden="1" x14ac:dyDescent="0.25">
      <c r="A1545" s="132" t="s">
        <v>1</v>
      </c>
      <c r="B1545" s="132"/>
      <c r="C1545" s="132"/>
      <c r="D1545" s="132" t="s">
        <v>178</v>
      </c>
      <c r="E1545" s="519"/>
    </row>
    <row r="1546" spans="1:5" hidden="1" x14ac:dyDescent="0.25">
      <c r="A1546" s="132" t="s">
        <v>2</v>
      </c>
      <c r="B1546" s="132"/>
      <c r="C1546" s="132"/>
      <c r="D1546" s="132" t="s">
        <v>305</v>
      </c>
      <c r="E1546" s="520"/>
    </row>
    <row r="1547" spans="1:5" hidden="1" x14ac:dyDescent="0.25">
      <c r="A1547" s="132" t="s">
        <v>3</v>
      </c>
      <c r="B1547" s="132"/>
      <c r="C1547" s="132"/>
      <c r="D1547" s="132" t="s">
        <v>168</v>
      </c>
      <c r="E1547" s="519"/>
    </row>
    <row r="1548" spans="1:5" hidden="1" x14ac:dyDescent="0.25">
      <c r="A1548" s="132" t="s">
        <v>4</v>
      </c>
      <c r="B1548" s="132"/>
      <c r="C1548" s="132"/>
      <c r="D1548" s="132" t="s">
        <v>169</v>
      </c>
      <c r="E1548" s="519"/>
    </row>
    <row r="1549" spans="1:5" hidden="1" x14ac:dyDescent="0.25">
      <c r="A1549" s="152" t="s">
        <v>192</v>
      </c>
      <c r="B1549" s="132"/>
      <c r="C1549" s="132"/>
      <c r="D1549" s="132"/>
      <c r="E1549" s="519"/>
    </row>
    <row r="1550" spans="1:5" hidden="1" x14ac:dyDescent="0.25">
      <c r="A1550" s="132" t="s">
        <v>5</v>
      </c>
      <c r="B1550" s="132"/>
      <c r="C1550" s="132"/>
      <c r="D1550" s="132" t="s">
        <v>170</v>
      </c>
      <c r="E1550" s="519"/>
    </row>
    <row r="1551" spans="1:5" hidden="1" x14ac:dyDescent="0.25">
      <c r="A1551" s="1"/>
      <c r="B1551" s="1"/>
      <c r="C1551" s="1"/>
      <c r="D1551" s="1"/>
      <c r="E1551" s="463"/>
    </row>
    <row r="1552" spans="1:5" ht="15.75" hidden="1" x14ac:dyDescent="0.25">
      <c r="A1552" s="141" t="s">
        <v>296</v>
      </c>
      <c r="B1552" s="141" t="s">
        <v>306</v>
      </c>
      <c r="C1552" s="2"/>
      <c r="D1552" s="2"/>
    </row>
    <row r="1553" spans="1:5" ht="15.75" hidden="1" x14ac:dyDescent="0.25">
      <c r="A1553" s="141"/>
      <c r="B1553" s="141"/>
      <c r="C1553" s="328">
        <v>41992</v>
      </c>
      <c r="D1553" s="2"/>
    </row>
    <row r="1554" spans="1:5" ht="15.75" hidden="1" x14ac:dyDescent="0.25">
      <c r="A1554" s="141"/>
      <c r="B1554" s="141"/>
      <c r="C1554" s="151" t="s">
        <v>191</v>
      </c>
      <c r="D1554" s="2"/>
    </row>
    <row r="1555" spans="1:5" hidden="1" x14ac:dyDescent="0.25">
      <c r="A1555" s="2" t="s">
        <v>6</v>
      </c>
      <c r="B1555" s="2"/>
      <c r="C1555" s="2"/>
      <c r="D1555" s="2"/>
      <c r="E1555" s="522"/>
    </row>
    <row r="1556" spans="1:5" hidden="1" x14ac:dyDescent="0.25">
      <c r="A1556" s="1" t="s">
        <v>260</v>
      </c>
      <c r="B1556" s="1"/>
      <c r="C1556" s="1"/>
      <c r="D1556" s="1"/>
      <c r="E1556" s="463"/>
    </row>
    <row r="1557" spans="1:5" hidden="1" x14ac:dyDescent="0.25">
      <c r="A1557" s="1" t="s">
        <v>7</v>
      </c>
      <c r="B1557" s="1"/>
      <c r="C1557" s="1"/>
      <c r="D1557" s="1"/>
      <c r="E1557" s="463"/>
    </row>
    <row r="1558" spans="1:5" hidden="1" x14ac:dyDescent="0.25">
      <c r="A1558" s="326" t="s">
        <v>281</v>
      </c>
      <c r="B1558" s="326"/>
      <c r="C1558" s="326"/>
      <c r="D1558" s="326"/>
      <c r="E1558" s="564"/>
    </row>
    <row r="1559" spans="1:5" hidden="1" x14ac:dyDescent="0.25">
      <c r="A1559" s="238" t="s">
        <v>8</v>
      </c>
      <c r="B1559" s="239" t="s">
        <v>9</v>
      </c>
      <c r="C1559" s="239" t="s">
        <v>10</v>
      </c>
      <c r="D1559" s="239" t="s">
        <v>11</v>
      </c>
      <c r="E1559" s="543" t="s">
        <v>12</v>
      </c>
    </row>
    <row r="1560" spans="1:5" hidden="1" x14ac:dyDescent="0.25">
      <c r="A1560" s="242">
        <v>1</v>
      </c>
      <c r="B1560" s="24">
        <v>2</v>
      </c>
      <c r="C1560" s="24">
        <v>3</v>
      </c>
      <c r="D1560" s="24">
        <v>4</v>
      </c>
      <c r="E1560" s="544">
        <v>5</v>
      </c>
    </row>
    <row r="1561" spans="1:5" hidden="1" x14ac:dyDescent="0.25">
      <c r="A1561" s="370" t="s">
        <v>13</v>
      </c>
      <c r="B1561" s="371" t="s">
        <v>14</v>
      </c>
      <c r="C1561" s="26"/>
      <c r="D1561" s="26"/>
      <c r="E1561" s="545"/>
    </row>
    <row r="1562" spans="1:5" ht="17.25" hidden="1" x14ac:dyDescent="0.3">
      <c r="A1562" s="374" t="s">
        <v>15</v>
      </c>
      <c r="B1562" s="380" t="s">
        <v>183</v>
      </c>
      <c r="C1562" s="360" t="s">
        <v>59</v>
      </c>
      <c r="D1562" s="308" t="s">
        <v>179</v>
      </c>
      <c r="E1562" s="546">
        <f>E1564+E1566</f>
        <v>18.878094727921496</v>
      </c>
    </row>
    <row r="1563" spans="1:5" ht="15.75" hidden="1" x14ac:dyDescent="0.25">
      <c r="A1563" s="375"/>
      <c r="B1563" s="381"/>
      <c r="C1563" s="369" t="s">
        <v>292</v>
      </c>
      <c r="D1563" s="332"/>
      <c r="E1563" s="566">
        <f>E1562/3.4528</f>
        <v>5.4674741450189694</v>
      </c>
    </row>
    <row r="1564" spans="1:5" ht="18.75" hidden="1" x14ac:dyDescent="0.35">
      <c r="A1564" s="376" t="s">
        <v>16</v>
      </c>
      <c r="B1564" s="38" t="s">
        <v>18</v>
      </c>
      <c r="C1564" s="346" t="s">
        <v>59</v>
      </c>
      <c r="D1564" s="334" t="s">
        <v>171</v>
      </c>
      <c r="E1564" s="567">
        <v>4.57</v>
      </c>
    </row>
    <row r="1565" spans="1:5" ht="15.75" hidden="1" x14ac:dyDescent="0.25">
      <c r="A1565" s="377"/>
      <c r="B1565" s="382"/>
      <c r="C1565" s="342" t="s">
        <v>292</v>
      </c>
      <c r="D1565" s="336"/>
      <c r="E1565" s="568">
        <f>E1564/3.4528</f>
        <v>1.3235634847080631</v>
      </c>
    </row>
    <row r="1566" spans="1:5" ht="33" hidden="1" x14ac:dyDescent="0.25">
      <c r="A1566" s="378" t="s">
        <v>17</v>
      </c>
      <c r="B1566" s="411" t="s">
        <v>19</v>
      </c>
      <c r="C1566" s="331" t="s">
        <v>59</v>
      </c>
      <c r="D1566" s="338" t="s">
        <v>278</v>
      </c>
      <c r="E1566" s="569">
        <f>0.29+((4325*E1572+226*E1580+106.1*E1576+509*E1584)/(44.84*1000))/10</f>
        <v>14.308094727921496</v>
      </c>
    </row>
    <row r="1567" spans="1:5" hidden="1" x14ac:dyDescent="0.25">
      <c r="A1567" s="379"/>
      <c r="B1567" s="384"/>
      <c r="C1567" s="342" t="s">
        <v>292</v>
      </c>
      <c r="D1567" s="339"/>
      <c r="E1567" s="570">
        <f>E1566/3.4528</f>
        <v>4.1439106603109064</v>
      </c>
    </row>
    <row r="1568" spans="1:5" hidden="1" x14ac:dyDescent="0.25">
      <c r="A1568" s="372" t="s">
        <v>21</v>
      </c>
      <c r="B1568" s="373" t="s">
        <v>22</v>
      </c>
      <c r="C1568" s="31"/>
      <c r="D1568" s="337"/>
      <c r="E1568" s="548"/>
    </row>
    <row r="1569" spans="1:5" hidden="1" x14ac:dyDescent="0.25">
      <c r="A1569" s="311" t="s">
        <v>23</v>
      </c>
      <c r="B1569" s="48" t="s">
        <v>24</v>
      </c>
      <c r="C1569" s="49"/>
      <c r="D1569" s="49"/>
      <c r="E1569" s="549"/>
    </row>
    <row r="1570" spans="1:5" hidden="1" x14ac:dyDescent="0.25">
      <c r="A1570" s="309" t="s">
        <v>25</v>
      </c>
      <c r="B1570" s="24" t="s">
        <v>26</v>
      </c>
      <c r="C1570" s="32" t="s">
        <v>41</v>
      </c>
      <c r="D1570" s="24"/>
      <c r="E1570" s="550">
        <v>1023.41</v>
      </c>
    </row>
    <row r="1571" spans="1:5" hidden="1" x14ac:dyDescent="0.25">
      <c r="A1571" s="309" t="s">
        <v>27</v>
      </c>
      <c r="B1571" s="24" t="s">
        <v>28</v>
      </c>
      <c r="C1571" s="5" t="s">
        <v>41</v>
      </c>
      <c r="D1571" s="24"/>
      <c r="E1571" s="544">
        <v>313.23</v>
      </c>
    </row>
    <row r="1572" spans="1:5" hidden="1" x14ac:dyDescent="0.25">
      <c r="A1572" s="309" t="s">
        <v>29</v>
      </c>
      <c r="B1572" s="38" t="s">
        <v>30</v>
      </c>
      <c r="C1572" s="39" t="s">
        <v>41</v>
      </c>
      <c r="D1572" s="24"/>
      <c r="E1572" s="551">
        <f>E1570+E1571</f>
        <v>1336.6399999999999</v>
      </c>
    </row>
    <row r="1573" spans="1:5" hidden="1" x14ac:dyDescent="0.25">
      <c r="A1573" s="312" t="s">
        <v>31</v>
      </c>
      <c r="B1573" s="41" t="s">
        <v>265</v>
      </c>
      <c r="C1573" s="42"/>
      <c r="D1573" s="42"/>
      <c r="E1573" s="552"/>
    </row>
    <row r="1574" spans="1:5" hidden="1" x14ac:dyDescent="0.25">
      <c r="A1574" s="309" t="s">
        <v>35</v>
      </c>
      <c r="B1574" s="24" t="s">
        <v>26</v>
      </c>
      <c r="C1574" s="40" t="s">
        <v>33</v>
      </c>
      <c r="D1574" s="24"/>
      <c r="E1574" s="550"/>
    </row>
    <row r="1575" spans="1:5" hidden="1" x14ac:dyDescent="0.25">
      <c r="A1575" s="309" t="s">
        <v>36</v>
      </c>
      <c r="B1575" s="24" t="s">
        <v>28</v>
      </c>
      <c r="C1575" s="4" t="s">
        <v>33</v>
      </c>
      <c r="D1575" s="24"/>
      <c r="E1575" s="550"/>
    </row>
    <row r="1576" spans="1:5" hidden="1" x14ac:dyDescent="0.25">
      <c r="A1576" s="309" t="s">
        <v>37</v>
      </c>
      <c r="B1576" s="24" t="s">
        <v>30</v>
      </c>
      <c r="C1576" s="43" t="s">
        <v>33</v>
      </c>
      <c r="D1576" s="24"/>
      <c r="E1576" s="551">
        <v>599.96</v>
      </c>
    </row>
    <row r="1577" spans="1:5" hidden="1" x14ac:dyDescent="0.25">
      <c r="A1577" s="312" t="s">
        <v>31</v>
      </c>
      <c r="B1577" s="41" t="s">
        <v>266</v>
      </c>
      <c r="C1577" s="420"/>
      <c r="D1577" s="42"/>
      <c r="E1577" s="552"/>
    </row>
    <row r="1578" spans="1:5" hidden="1" x14ac:dyDescent="0.25">
      <c r="A1578" s="309" t="s">
        <v>35</v>
      </c>
      <c r="B1578" s="24" t="s">
        <v>26</v>
      </c>
      <c r="C1578" s="419" t="s">
        <v>33</v>
      </c>
      <c r="D1578" s="24"/>
      <c r="E1578" s="550"/>
    </row>
    <row r="1579" spans="1:5" hidden="1" x14ac:dyDescent="0.25">
      <c r="A1579" s="309" t="s">
        <v>36</v>
      </c>
      <c r="B1579" s="24" t="s">
        <v>28</v>
      </c>
      <c r="C1579" s="4" t="s">
        <v>33</v>
      </c>
      <c r="D1579" s="24"/>
      <c r="E1579" s="550"/>
    </row>
    <row r="1580" spans="1:5" hidden="1" x14ac:dyDescent="0.25">
      <c r="A1580" s="309" t="s">
        <v>37</v>
      </c>
      <c r="B1580" s="24" t="s">
        <v>30</v>
      </c>
      <c r="C1580" s="43" t="s">
        <v>33</v>
      </c>
      <c r="D1580" s="24"/>
      <c r="E1580" s="551">
        <v>332.79</v>
      </c>
    </row>
    <row r="1581" spans="1:5" hidden="1" x14ac:dyDescent="0.25">
      <c r="A1581" s="313" t="s">
        <v>34</v>
      </c>
      <c r="B1581" s="45" t="s">
        <v>103</v>
      </c>
      <c r="C1581" s="46"/>
      <c r="D1581" s="46"/>
      <c r="E1581" s="553"/>
    </row>
    <row r="1582" spans="1:5" hidden="1" x14ac:dyDescent="0.25">
      <c r="A1582" s="314" t="s">
        <v>38</v>
      </c>
      <c r="B1582" s="44" t="s">
        <v>26</v>
      </c>
      <c r="C1582" s="40" t="s">
        <v>33</v>
      </c>
      <c r="D1582" s="24"/>
      <c r="E1582" s="550">
        <f>Lapas3!D1450</f>
        <v>0</v>
      </c>
    </row>
    <row r="1583" spans="1:5" hidden="1" x14ac:dyDescent="0.25">
      <c r="A1583" s="314" t="s">
        <v>39</v>
      </c>
      <c r="B1583" s="24" t="s">
        <v>28</v>
      </c>
      <c r="C1583" s="4" t="s">
        <v>33</v>
      </c>
      <c r="D1583" s="24"/>
      <c r="E1583" s="544"/>
    </row>
    <row r="1584" spans="1:5" hidden="1" x14ac:dyDescent="0.25">
      <c r="A1584" s="21" t="s">
        <v>40</v>
      </c>
      <c r="B1584" s="38" t="s">
        <v>30</v>
      </c>
      <c r="C1584" s="43" t="s">
        <v>33</v>
      </c>
      <c r="D1584" s="24"/>
      <c r="E1584" s="551">
        <v>718.82</v>
      </c>
    </row>
    <row r="1585" spans="1:5" hidden="1" x14ac:dyDescent="0.25">
      <c r="A1585" s="315" t="s">
        <v>42</v>
      </c>
      <c r="B1585" s="51" t="s">
        <v>43</v>
      </c>
      <c r="C1585" s="52"/>
      <c r="D1585" s="52"/>
      <c r="E1585" s="554"/>
    </row>
    <row r="1586" spans="1:5" hidden="1" x14ac:dyDescent="0.25">
      <c r="A1586" s="242" t="s">
        <v>44</v>
      </c>
      <c r="B1586" s="24" t="s">
        <v>104</v>
      </c>
      <c r="C1586" s="24"/>
      <c r="D1586" s="24"/>
      <c r="E1586" s="555" t="s">
        <v>106</v>
      </c>
    </row>
    <row r="1587" spans="1:5" hidden="1" x14ac:dyDescent="0.25">
      <c r="A1587" s="242" t="s">
        <v>45</v>
      </c>
      <c r="B1587" s="24" t="s">
        <v>105</v>
      </c>
      <c r="C1587" s="11" t="s">
        <v>59</v>
      </c>
      <c r="D1587" s="24"/>
      <c r="E1587" s="544">
        <v>0</v>
      </c>
    </row>
    <row r="1588" spans="1:5" ht="17.25" hidden="1" x14ac:dyDescent="0.3">
      <c r="A1588" s="316" t="s">
        <v>46</v>
      </c>
      <c r="B1588" s="136" t="s">
        <v>172</v>
      </c>
      <c r="C1588" s="139" t="s">
        <v>59</v>
      </c>
      <c r="D1588" s="140" t="s">
        <v>181</v>
      </c>
      <c r="E1588" s="563">
        <f>E1589+E1590</f>
        <v>18.878094727921496</v>
      </c>
    </row>
    <row r="1589" spans="1:5" ht="18.75" hidden="1" x14ac:dyDescent="0.35">
      <c r="A1589" s="242" t="s">
        <v>48</v>
      </c>
      <c r="B1589" s="24" t="s">
        <v>49</v>
      </c>
      <c r="C1589" s="53" t="s">
        <v>59</v>
      </c>
      <c r="D1589" s="122" t="s">
        <v>173</v>
      </c>
      <c r="E1589" s="550">
        <f>E1564</f>
        <v>4.57</v>
      </c>
    </row>
    <row r="1590" spans="1:5" ht="33" hidden="1" x14ac:dyDescent="0.25">
      <c r="A1590" s="310" t="s">
        <v>50</v>
      </c>
      <c r="B1590" s="35" t="s">
        <v>51</v>
      </c>
      <c r="C1590" s="27" t="s">
        <v>59</v>
      </c>
      <c r="D1590" s="54" t="s">
        <v>278</v>
      </c>
      <c r="E1590" s="557">
        <f>E1566</f>
        <v>14.308094727921496</v>
      </c>
    </row>
    <row r="1591" spans="1:5" hidden="1" x14ac:dyDescent="0.25">
      <c r="A1591" s="242" t="s">
        <v>52</v>
      </c>
      <c r="B1591" s="55" t="s">
        <v>53</v>
      </c>
      <c r="C1591" s="33"/>
      <c r="D1591" s="33"/>
      <c r="E1591" s="548"/>
    </row>
    <row r="1592" spans="1:5" hidden="1" x14ac:dyDescent="0.25">
      <c r="A1592" s="242" t="s">
        <v>54</v>
      </c>
      <c r="B1592" s="24" t="s">
        <v>55</v>
      </c>
      <c r="C1592" s="11" t="s">
        <v>56</v>
      </c>
      <c r="D1592" s="24"/>
      <c r="E1592" s="544">
        <v>33.340000000000003</v>
      </c>
    </row>
    <row r="1593" spans="1:5" hidden="1" x14ac:dyDescent="0.25">
      <c r="A1593" s="242" t="s">
        <v>57</v>
      </c>
      <c r="B1593" s="24" t="s">
        <v>58</v>
      </c>
      <c r="C1593" s="11" t="s">
        <v>59</v>
      </c>
      <c r="D1593" s="56" t="s">
        <v>47</v>
      </c>
      <c r="E1593" s="550">
        <f>E1590</f>
        <v>14.308094727921496</v>
      </c>
    </row>
    <row r="1594" spans="1:5" hidden="1" x14ac:dyDescent="0.25">
      <c r="A1594" s="307" t="s">
        <v>60</v>
      </c>
      <c r="B1594" s="866" t="s">
        <v>61</v>
      </c>
      <c r="C1594" s="867"/>
      <c r="D1594" s="867"/>
      <c r="E1594" s="868"/>
    </row>
    <row r="1595" spans="1:5" ht="17.25" hidden="1" x14ac:dyDescent="0.3">
      <c r="A1595" s="353" t="s">
        <v>62</v>
      </c>
      <c r="B1595" s="343" t="s">
        <v>182</v>
      </c>
      <c r="C1595" s="344" t="s">
        <v>59</v>
      </c>
      <c r="D1595" s="340" t="s">
        <v>180</v>
      </c>
      <c r="E1595" s="571">
        <f>E1597+E1599</f>
        <v>6.4850373890997766</v>
      </c>
    </row>
    <row r="1596" spans="1:5" ht="15.75" hidden="1" x14ac:dyDescent="0.25">
      <c r="A1596" s="345"/>
      <c r="B1596" s="354"/>
      <c r="C1596" s="342" t="s">
        <v>292</v>
      </c>
      <c r="D1596" s="341"/>
      <c r="E1596" s="566">
        <f>E1595/3.4528</f>
        <v>1.878196648835663</v>
      </c>
    </row>
    <row r="1597" spans="1:5" ht="18.75" hidden="1" x14ac:dyDescent="0.35">
      <c r="A1597" s="349" t="s">
        <v>63</v>
      </c>
      <c r="B1597" s="355" t="s">
        <v>64</v>
      </c>
      <c r="C1597" s="346" t="s">
        <v>59</v>
      </c>
      <c r="D1597" s="334" t="s">
        <v>174</v>
      </c>
      <c r="E1597" s="548">
        <v>2.44</v>
      </c>
    </row>
    <row r="1598" spans="1:5" ht="15.75" hidden="1" x14ac:dyDescent="0.25">
      <c r="A1598" s="350"/>
      <c r="B1598" s="356"/>
      <c r="C1598" s="342" t="s">
        <v>292</v>
      </c>
      <c r="D1598" s="335"/>
      <c r="E1598" s="566">
        <f>E1597/3.4528</f>
        <v>0.70667284522706209</v>
      </c>
    </row>
    <row r="1599" spans="1:5" ht="18.75" hidden="1" x14ac:dyDescent="0.25">
      <c r="A1599" s="349" t="s">
        <v>65</v>
      </c>
      <c r="B1599" s="357" t="s">
        <v>66</v>
      </c>
      <c r="C1599" s="346" t="s">
        <v>59</v>
      </c>
      <c r="D1599" s="351" t="s">
        <v>279</v>
      </c>
      <c r="E1599" s="572">
        <f>0.41+(7.24*E1562/37.6)</f>
        <v>4.0450373890997771</v>
      </c>
    </row>
    <row r="1600" spans="1:5" ht="15.75" hidden="1" x14ac:dyDescent="0.25">
      <c r="A1600" s="350"/>
      <c r="B1600" s="358"/>
      <c r="C1600" s="342" t="s">
        <v>292</v>
      </c>
      <c r="D1600" s="352"/>
      <c r="E1600" s="566">
        <f>E1599/3.4528</f>
        <v>1.1715238036086009</v>
      </c>
    </row>
    <row r="1601" spans="1:5" hidden="1" x14ac:dyDescent="0.25">
      <c r="A1601" s="347" t="s">
        <v>67</v>
      </c>
      <c r="B1601" s="348" t="s">
        <v>68</v>
      </c>
      <c r="C1601" s="9"/>
      <c r="D1601" s="44"/>
      <c r="E1601" s="544"/>
    </row>
    <row r="1602" spans="1:5" hidden="1" x14ac:dyDescent="0.25">
      <c r="A1602" s="12" t="s">
        <v>69</v>
      </c>
      <c r="B1602" s="17" t="s">
        <v>55</v>
      </c>
      <c r="C1602" s="10" t="s">
        <v>56</v>
      </c>
      <c r="D1602" s="24"/>
      <c r="E1602" s="550">
        <v>16.100000000000001</v>
      </c>
    </row>
    <row r="1603" spans="1:5" ht="18.75" hidden="1" x14ac:dyDescent="0.35">
      <c r="A1603" s="12" t="s">
        <v>70</v>
      </c>
      <c r="B1603" s="17" t="s">
        <v>71</v>
      </c>
      <c r="C1603" s="11" t="s">
        <v>59</v>
      </c>
      <c r="D1603" s="122" t="s">
        <v>176</v>
      </c>
      <c r="E1603" s="550">
        <f>E1599</f>
        <v>4.0450373890997771</v>
      </c>
    </row>
    <row r="1604" spans="1:5" hidden="1" x14ac:dyDescent="0.25">
      <c r="A1604" s="317" t="s">
        <v>72</v>
      </c>
      <c r="B1604" s="869" t="s">
        <v>73</v>
      </c>
      <c r="C1604" s="870"/>
      <c r="D1604" s="870"/>
      <c r="E1604" s="871"/>
    </row>
    <row r="1605" spans="1:5" hidden="1" x14ac:dyDescent="0.25">
      <c r="A1605" s="864" t="s">
        <v>79</v>
      </c>
      <c r="B1605" s="18" t="s">
        <v>74</v>
      </c>
      <c r="C1605" s="11" t="s">
        <v>59</v>
      </c>
      <c r="D1605" s="124" t="s">
        <v>106</v>
      </c>
      <c r="E1605" s="558">
        <v>0.31</v>
      </c>
    </row>
    <row r="1606" spans="1:5" hidden="1" x14ac:dyDescent="0.25">
      <c r="A1606" s="865"/>
      <c r="B1606" s="19" t="s">
        <v>75</v>
      </c>
      <c r="C1606" s="53" t="s">
        <v>76</v>
      </c>
      <c r="D1606" s="124" t="s">
        <v>106</v>
      </c>
      <c r="E1606" s="558">
        <v>2.34</v>
      </c>
    </row>
    <row r="1607" spans="1:5" hidden="1" x14ac:dyDescent="0.25">
      <c r="A1607" s="865"/>
      <c r="B1607" s="19" t="s">
        <v>300</v>
      </c>
      <c r="C1607" s="11" t="s">
        <v>78</v>
      </c>
      <c r="D1607" s="124" t="s">
        <v>106</v>
      </c>
      <c r="E1607" s="558">
        <v>46.34</v>
      </c>
    </row>
    <row r="1608" spans="1:5" hidden="1" x14ac:dyDescent="0.25">
      <c r="A1608" s="317" t="s">
        <v>80</v>
      </c>
      <c r="B1608" s="127" t="s">
        <v>81</v>
      </c>
      <c r="C1608" s="418" t="s">
        <v>59</v>
      </c>
      <c r="D1608" s="62"/>
      <c r="E1608" s="558">
        <v>-7.0000000000000007E-2</v>
      </c>
    </row>
    <row r="1609" spans="1:5" hidden="1" x14ac:dyDescent="0.25">
      <c r="A1609" s="317" t="s">
        <v>82</v>
      </c>
      <c r="B1609" s="127" t="s">
        <v>83</v>
      </c>
      <c r="C1609" s="11" t="s">
        <v>59</v>
      </c>
      <c r="D1609" s="62"/>
      <c r="E1609" s="558">
        <v>-0.14000000000000001</v>
      </c>
    </row>
    <row r="1610" spans="1:5" hidden="1" x14ac:dyDescent="0.25">
      <c r="A1610" s="366" t="s">
        <v>84</v>
      </c>
      <c r="B1610" s="361" t="s">
        <v>267</v>
      </c>
      <c r="C1610" s="359" t="s">
        <v>59</v>
      </c>
      <c r="D1610" s="62"/>
      <c r="E1610" s="559">
        <f>18.88+6.49+0.31-0.21</f>
        <v>25.469999999999995</v>
      </c>
    </row>
    <row r="1611" spans="1:5" hidden="1" x14ac:dyDescent="0.25">
      <c r="A1611" s="364"/>
      <c r="B1611" s="363"/>
      <c r="C1611" s="342" t="s">
        <v>292</v>
      </c>
      <c r="D1611" s="62"/>
      <c r="E1611" s="573">
        <f>E1610/3.4528</f>
        <v>7.376621872103799</v>
      </c>
    </row>
    <row r="1612" spans="1:5" hidden="1" x14ac:dyDescent="0.25">
      <c r="A1612" s="365" t="s">
        <v>85</v>
      </c>
      <c r="B1612" s="127" t="s">
        <v>86</v>
      </c>
      <c r="C1612" s="359" t="s">
        <v>59</v>
      </c>
      <c r="D1612" s="62"/>
      <c r="E1612" s="558">
        <v>0</v>
      </c>
    </row>
    <row r="1613" spans="1:5" hidden="1" x14ac:dyDescent="0.25">
      <c r="A1613" s="366" t="s">
        <v>87</v>
      </c>
      <c r="B1613" s="361" t="s">
        <v>88</v>
      </c>
      <c r="C1613" s="360" t="s">
        <v>59</v>
      </c>
      <c r="D1613" s="129"/>
      <c r="E1613" s="559">
        <f>E1610</f>
        <v>25.469999999999995</v>
      </c>
    </row>
    <row r="1614" spans="1:5" hidden="1" x14ac:dyDescent="0.25">
      <c r="A1614" s="364"/>
      <c r="B1614" s="363"/>
      <c r="C1614" s="342" t="s">
        <v>292</v>
      </c>
      <c r="D1614" s="129"/>
      <c r="E1614" s="573">
        <f>E1613/3.4528</f>
        <v>7.376621872103799</v>
      </c>
    </row>
    <row r="1615" spans="1:5" hidden="1" x14ac:dyDescent="0.25">
      <c r="A1615" s="366" t="s">
        <v>89</v>
      </c>
      <c r="B1615" s="361" t="s">
        <v>90</v>
      </c>
      <c r="C1615" s="360" t="s">
        <v>59</v>
      </c>
      <c r="D1615" s="129"/>
      <c r="E1615" s="560">
        <f>E1613*1.09</f>
        <v>27.762299999999996</v>
      </c>
    </row>
    <row r="1616" spans="1:5" hidden="1" x14ac:dyDescent="0.25">
      <c r="A1616" s="367"/>
      <c r="B1616" s="368"/>
      <c r="C1616" s="342" t="s">
        <v>292</v>
      </c>
      <c r="D1616" s="129"/>
      <c r="E1616" s="573">
        <f>E1615/3.4528</f>
        <v>8.0405178405931412</v>
      </c>
    </row>
    <row r="1617" spans="1:5" hidden="1" x14ac:dyDescent="0.25">
      <c r="A1617" s="366" t="s">
        <v>91</v>
      </c>
      <c r="B1617" s="361" t="s">
        <v>92</v>
      </c>
      <c r="C1617" s="360" t="s">
        <v>59</v>
      </c>
      <c r="D1617" s="129"/>
      <c r="E1617" s="560">
        <f>E1523</f>
        <v>25.88</v>
      </c>
    </row>
    <row r="1618" spans="1:5" hidden="1" x14ac:dyDescent="0.25">
      <c r="A1618" s="364"/>
      <c r="B1618" s="363"/>
      <c r="C1618" s="342" t="s">
        <v>292</v>
      </c>
      <c r="D1618" s="129"/>
      <c r="E1618" s="573">
        <f>E1617/3.4528</f>
        <v>7.4953660797034294</v>
      </c>
    </row>
    <row r="1619" spans="1:5" hidden="1" x14ac:dyDescent="0.25">
      <c r="A1619" s="362" t="s">
        <v>93</v>
      </c>
      <c r="B1619" s="363" t="s">
        <v>94</v>
      </c>
      <c r="C1619" s="126" t="s">
        <v>95</v>
      </c>
      <c r="D1619" s="129"/>
      <c r="E1619" s="560">
        <f>(E1610/E1617)*100-100</f>
        <v>-1.5842349304482326</v>
      </c>
    </row>
    <row r="1620" spans="1:5" hidden="1" x14ac:dyDescent="0.25">
      <c r="A1620" s="317" t="s">
        <v>96</v>
      </c>
      <c r="B1620" s="128" t="s">
        <v>97</v>
      </c>
      <c r="C1620" s="130" t="s">
        <v>98</v>
      </c>
      <c r="D1620" s="131"/>
      <c r="E1620" s="565">
        <v>4.9866349999999997</v>
      </c>
    </row>
    <row r="1621" spans="1:5" hidden="1" x14ac:dyDescent="0.25">
      <c r="A1621" s="317" t="s">
        <v>99</v>
      </c>
      <c r="B1621" s="128" t="s">
        <v>100</v>
      </c>
      <c r="C1621" s="125" t="s">
        <v>98</v>
      </c>
      <c r="D1621" s="62"/>
      <c r="E1621" s="565">
        <v>3.9107655000000001</v>
      </c>
    </row>
    <row r="1622" spans="1:5" ht="15.75" hidden="1" thickBot="1" x14ac:dyDescent="0.3">
      <c r="A1622" s="22" t="s">
        <v>101</v>
      </c>
      <c r="B1622" s="23" t="s">
        <v>102</v>
      </c>
      <c r="C1622" s="318" t="s">
        <v>98</v>
      </c>
      <c r="D1622" s="319"/>
      <c r="E1622" s="562">
        <v>0</v>
      </c>
    </row>
    <row r="1623" spans="1:5" hidden="1" x14ac:dyDescent="0.25"/>
    <row r="1624" spans="1:5" hidden="1" x14ac:dyDescent="0.25"/>
    <row r="1625" spans="1:5" hidden="1" x14ac:dyDescent="0.25">
      <c r="B1625" s="329"/>
      <c r="C1625" s="330"/>
      <c r="D1625" s="330"/>
    </row>
    <row r="1626" spans="1:5" hidden="1" x14ac:dyDescent="0.25"/>
    <row r="1627" spans="1:5" hidden="1" x14ac:dyDescent="0.25"/>
    <row r="1628" spans="1:5" hidden="1" x14ac:dyDescent="0.25"/>
    <row r="1629" spans="1:5" hidden="1" x14ac:dyDescent="0.25"/>
    <row r="1630" spans="1:5" hidden="1" x14ac:dyDescent="0.25"/>
    <row r="1631" spans="1:5" hidden="1" x14ac:dyDescent="0.25">
      <c r="B1631" t="s">
        <v>189</v>
      </c>
      <c r="C1631" t="s">
        <v>193</v>
      </c>
      <c r="D1631" s="146" t="s">
        <v>190</v>
      </c>
    </row>
    <row r="1632" spans="1:5" hidden="1" x14ac:dyDescent="0.25">
      <c r="C1632" s="153" t="s">
        <v>194</v>
      </c>
    </row>
    <row r="1633" spans="1:5" hidden="1" x14ac:dyDescent="0.25"/>
    <row r="1634" spans="1:5" hidden="1" x14ac:dyDescent="0.25">
      <c r="A1634" s="132" t="s">
        <v>0</v>
      </c>
      <c r="B1634" s="132"/>
      <c r="C1634" s="132"/>
      <c r="D1634" s="132"/>
      <c r="E1634" s="480" t="s">
        <v>107</v>
      </c>
    </row>
    <row r="1635" spans="1:5" hidden="1" x14ac:dyDescent="0.25">
      <c r="A1635" s="132" t="s">
        <v>1</v>
      </c>
      <c r="B1635" s="132"/>
      <c r="C1635" s="132"/>
      <c r="D1635" s="132" t="s">
        <v>178</v>
      </c>
      <c r="E1635" s="519"/>
    </row>
    <row r="1636" spans="1:5" hidden="1" x14ac:dyDescent="0.25">
      <c r="A1636" s="132" t="s">
        <v>2</v>
      </c>
      <c r="B1636" s="132"/>
      <c r="C1636" s="132"/>
      <c r="D1636" s="132" t="s">
        <v>305</v>
      </c>
      <c r="E1636" s="520"/>
    </row>
    <row r="1637" spans="1:5" hidden="1" x14ac:dyDescent="0.25">
      <c r="A1637" s="132" t="s">
        <v>3</v>
      </c>
      <c r="B1637" s="132"/>
      <c r="C1637" s="132"/>
      <c r="D1637" s="132" t="s">
        <v>168</v>
      </c>
      <c r="E1637" s="519"/>
    </row>
    <row r="1638" spans="1:5" hidden="1" x14ac:dyDescent="0.25">
      <c r="A1638" s="132" t="s">
        <v>4</v>
      </c>
      <c r="B1638" s="132"/>
      <c r="C1638" s="132"/>
      <c r="D1638" s="132" t="s">
        <v>169</v>
      </c>
      <c r="E1638" s="519"/>
    </row>
    <row r="1639" spans="1:5" hidden="1" x14ac:dyDescent="0.25">
      <c r="A1639" s="152" t="s">
        <v>192</v>
      </c>
      <c r="B1639" s="132"/>
      <c r="C1639" s="132"/>
      <c r="D1639" s="132"/>
      <c r="E1639" s="519"/>
    </row>
    <row r="1640" spans="1:5" hidden="1" x14ac:dyDescent="0.25">
      <c r="A1640" s="152" t="s">
        <v>316</v>
      </c>
      <c r="B1640" s="132"/>
      <c r="C1640" s="132"/>
      <c r="D1640" s="132" t="s">
        <v>317</v>
      </c>
      <c r="E1640" s="519"/>
    </row>
    <row r="1641" spans="1:5" hidden="1" x14ac:dyDescent="0.25">
      <c r="A1641" s="1"/>
      <c r="B1641" s="1"/>
      <c r="C1641" s="1"/>
      <c r="D1641" s="1"/>
      <c r="E1641" s="463"/>
    </row>
    <row r="1642" spans="1:5" ht="15.75" hidden="1" x14ac:dyDescent="0.25">
      <c r="A1642" s="141" t="s">
        <v>296</v>
      </c>
      <c r="B1642" s="141" t="s">
        <v>308</v>
      </c>
      <c r="C1642" s="2"/>
      <c r="D1642" s="2"/>
    </row>
    <row r="1643" spans="1:5" ht="15.75" hidden="1" x14ac:dyDescent="0.25">
      <c r="A1643" s="141"/>
      <c r="B1643" s="141"/>
      <c r="C1643" s="328">
        <v>42026</v>
      </c>
      <c r="D1643" s="2"/>
    </row>
    <row r="1644" spans="1:5" ht="15.75" hidden="1" x14ac:dyDescent="0.25">
      <c r="A1644" s="141"/>
      <c r="B1644" s="141"/>
      <c r="C1644" s="151" t="s">
        <v>191</v>
      </c>
      <c r="D1644" s="2"/>
    </row>
    <row r="1645" spans="1:5" hidden="1" x14ac:dyDescent="0.25">
      <c r="A1645" s="2" t="s">
        <v>6</v>
      </c>
      <c r="B1645" s="2"/>
      <c r="C1645" s="2"/>
      <c r="D1645" s="2"/>
      <c r="E1645" s="522"/>
    </row>
    <row r="1646" spans="1:5" hidden="1" x14ac:dyDescent="0.25">
      <c r="A1646" s="1" t="s">
        <v>260</v>
      </c>
      <c r="B1646" s="1"/>
      <c r="C1646" s="1"/>
      <c r="D1646" s="1"/>
      <c r="E1646" s="463"/>
    </row>
    <row r="1647" spans="1:5" hidden="1" x14ac:dyDescent="0.25">
      <c r="A1647" s="1" t="s">
        <v>7</v>
      </c>
      <c r="B1647" s="1"/>
      <c r="C1647" s="1"/>
      <c r="D1647" s="1"/>
      <c r="E1647" s="463"/>
    </row>
    <row r="1648" spans="1:5" hidden="1" x14ac:dyDescent="0.25">
      <c r="A1648" s="326" t="s">
        <v>318</v>
      </c>
      <c r="B1648" s="326"/>
      <c r="C1648" s="326"/>
      <c r="D1648" s="326"/>
      <c r="E1648" s="564"/>
    </row>
    <row r="1649" spans="1:5" hidden="1" x14ac:dyDescent="0.25">
      <c r="A1649" s="238" t="s">
        <v>8</v>
      </c>
      <c r="B1649" s="239" t="s">
        <v>9</v>
      </c>
      <c r="C1649" s="239" t="s">
        <v>10</v>
      </c>
      <c r="D1649" s="239" t="s">
        <v>11</v>
      </c>
      <c r="E1649" s="543" t="s">
        <v>12</v>
      </c>
    </row>
    <row r="1650" spans="1:5" ht="15.75" hidden="1" thickBot="1" x14ac:dyDescent="0.3">
      <c r="A1650" s="443">
        <v>1</v>
      </c>
      <c r="B1650" s="444">
        <v>2</v>
      </c>
      <c r="C1650" s="444">
        <v>3</v>
      </c>
      <c r="D1650" s="444">
        <v>4</v>
      </c>
      <c r="E1650" s="574">
        <v>5</v>
      </c>
    </row>
    <row r="1651" spans="1:5" hidden="1" x14ac:dyDescent="0.25">
      <c r="A1651" s="440" t="s">
        <v>13</v>
      </c>
      <c r="B1651" s="441" t="s">
        <v>14</v>
      </c>
      <c r="C1651" s="442"/>
      <c r="D1651" s="442"/>
      <c r="E1651" s="575"/>
    </row>
    <row r="1652" spans="1:5" ht="17.25" hidden="1" x14ac:dyDescent="0.3">
      <c r="A1652" s="426" t="s">
        <v>15</v>
      </c>
      <c r="B1652" s="380" t="s">
        <v>183</v>
      </c>
      <c r="C1652" s="369" t="s">
        <v>292</v>
      </c>
      <c r="D1652" s="308" t="s">
        <v>179</v>
      </c>
      <c r="E1652" s="546">
        <f>E1654+E1656</f>
        <v>5.5111015432649424</v>
      </c>
    </row>
    <row r="1653" spans="1:5" ht="15.75" hidden="1" x14ac:dyDescent="0.25">
      <c r="A1653" s="427"/>
      <c r="B1653" s="381"/>
      <c r="C1653" s="360" t="s">
        <v>59</v>
      </c>
      <c r="D1653" s="332"/>
      <c r="E1653" s="566">
        <f>E1652*3.4528</f>
        <v>19.028731408585191</v>
      </c>
    </row>
    <row r="1654" spans="1:5" ht="18.75" hidden="1" x14ac:dyDescent="0.35">
      <c r="A1654" s="428" t="s">
        <v>16</v>
      </c>
      <c r="B1654" s="38" t="s">
        <v>18</v>
      </c>
      <c r="C1654" s="369" t="s">
        <v>292</v>
      </c>
      <c r="D1654" s="334" t="s">
        <v>171</v>
      </c>
      <c r="E1654" s="567">
        <v>1.32</v>
      </c>
    </row>
    <row r="1655" spans="1:5" ht="15.75" hidden="1" x14ac:dyDescent="0.25">
      <c r="A1655" s="429"/>
      <c r="B1655" s="382"/>
      <c r="C1655" s="360" t="s">
        <v>59</v>
      </c>
      <c r="D1655" s="336"/>
      <c r="E1655" s="568">
        <f>E1654*3.4528</f>
        <v>4.557696</v>
      </c>
    </row>
    <row r="1656" spans="1:5" ht="33" hidden="1" x14ac:dyDescent="0.25">
      <c r="A1656" s="430" t="s">
        <v>17</v>
      </c>
      <c r="B1656" s="423" t="s">
        <v>19</v>
      </c>
      <c r="C1656" s="369" t="s">
        <v>292</v>
      </c>
      <c r="D1656" s="338" t="s">
        <v>319</v>
      </c>
      <c r="E1656" s="576">
        <f>0.08+((4325*E1662+226*E1670+106.1*E1666+509*E1674)/(44.84*1000))/10</f>
        <v>4.1911015432649421</v>
      </c>
    </row>
    <row r="1657" spans="1:5" hidden="1" x14ac:dyDescent="0.25">
      <c r="A1657" s="431"/>
      <c r="B1657" s="384"/>
      <c r="C1657" s="360" t="s">
        <v>59</v>
      </c>
      <c r="D1657" s="339"/>
      <c r="E1657" s="577">
        <f>E1656*3.4528</f>
        <v>14.471035408585191</v>
      </c>
    </row>
    <row r="1658" spans="1:5" hidden="1" x14ac:dyDescent="0.25">
      <c r="A1658" s="372" t="s">
        <v>21</v>
      </c>
      <c r="B1658" s="373" t="s">
        <v>22</v>
      </c>
      <c r="C1658" s="31"/>
      <c r="D1658" s="337"/>
      <c r="E1658" s="548"/>
    </row>
    <row r="1659" spans="1:5" hidden="1" x14ac:dyDescent="0.25">
      <c r="A1659" s="311" t="s">
        <v>23</v>
      </c>
      <c r="B1659" s="48" t="s">
        <v>24</v>
      </c>
      <c r="C1659" s="49"/>
      <c r="D1659" s="49"/>
      <c r="E1659" s="549"/>
    </row>
    <row r="1660" spans="1:5" hidden="1" x14ac:dyDescent="0.25">
      <c r="A1660" s="309" t="s">
        <v>25</v>
      </c>
      <c r="B1660" s="24" t="s">
        <v>26</v>
      </c>
      <c r="C1660" s="32" t="s">
        <v>309</v>
      </c>
      <c r="D1660" s="24"/>
      <c r="E1660" s="550">
        <v>289.82</v>
      </c>
    </row>
    <row r="1661" spans="1:5" hidden="1" x14ac:dyDescent="0.25">
      <c r="A1661" s="309" t="s">
        <v>27</v>
      </c>
      <c r="B1661" s="24" t="s">
        <v>28</v>
      </c>
      <c r="C1661" s="32" t="s">
        <v>309</v>
      </c>
      <c r="D1661" s="24"/>
      <c r="E1661" s="544">
        <f>10.48+90.72</f>
        <v>101.2</v>
      </c>
    </row>
    <row r="1662" spans="1:5" hidden="1" x14ac:dyDescent="0.25">
      <c r="A1662" s="309" t="s">
        <v>29</v>
      </c>
      <c r="B1662" s="38" t="s">
        <v>30</v>
      </c>
      <c r="C1662" s="32" t="s">
        <v>309</v>
      </c>
      <c r="D1662" s="24"/>
      <c r="E1662" s="551">
        <f>E1660+E1661</f>
        <v>391.02</v>
      </c>
    </row>
    <row r="1663" spans="1:5" hidden="1" x14ac:dyDescent="0.25">
      <c r="A1663" s="312" t="s">
        <v>31</v>
      </c>
      <c r="B1663" s="41" t="s">
        <v>265</v>
      </c>
      <c r="C1663" s="42"/>
      <c r="D1663" s="42"/>
      <c r="E1663" s="552"/>
    </row>
    <row r="1664" spans="1:5" hidden="1" x14ac:dyDescent="0.25">
      <c r="A1664" s="309" t="s">
        <v>35</v>
      </c>
      <c r="B1664" s="24" t="s">
        <v>26</v>
      </c>
      <c r="C1664" s="419" t="s">
        <v>310</v>
      </c>
      <c r="D1664" s="24"/>
      <c r="E1664" s="550"/>
    </row>
    <row r="1665" spans="1:5" hidden="1" x14ac:dyDescent="0.25">
      <c r="A1665" s="309" t="s">
        <v>36</v>
      </c>
      <c r="B1665" s="24" t="s">
        <v>28</v>
      </c>
      <c r="C1665" s="40" t="s">
        <v>310</v>
      </c>
      <c r="D1665" s="24"/>
      <c r="E1665" s="550"/>
    </row>
    <row r="1666" spans="1:5" hidden="1" x14ac:dyDescent="0.25">
      <c r="A1666" s="309" t="s">
        <v>37</v>
      </c>
      <c r="B1666" s="24" t="s">
        <v>30</v>
      </c>
      <c r="C1666" s="40" t="s">
        <v>310</v>
      </c>
      <c r="D1666" s="24"/>
      <c r="E1666" s="551">
        <v>167.22</v>
      </c>
    </row>
    <row r="1667" spans="1:5" hidden="1" x14ac:dyDescent="0.25">
      <c r="A1667" s="312" t="s">
        <v>31</v>
      </c>
      <c r="B1667" s="41" t="s">
        <v>266</v>
      </c>
      <c r="C1667" s="420"/>
      <c r="D1667" s="42"/>
      <c r="E1667" s="552"/>
    </row>
    <row r="1668" spans="1:5" hidden="1" x14ac:dyDescent="0.25">
      <c r="A1668" s="309" t="s">
        <v>35</v>
      </c>
      <c r="B1668" s="24" t="s">
        <v>26</v>
      </c>
      <c r="C1668" s="40" t="s">
        <v>310</v>
      </c>
      <c r="D1668" s="24"/>
      <c r="E1668" s="550"/>
    </row>
    <row r="1669" spans="1:5" hidden="1" x14ac:dyDescent="0.25">
      <c r="A1669" s="309" t="s">
        <v>36</v>
      </c>
      <c r="B1669" s="24" t="s">
        <v>28</v>
      </c>
      <c r="C1669" s="40" t="s">
        <v>310</v>
      </c>
      <c r="D1669" s="24"/>
      <c r="E1669" s="550"/>
    </row>
    <row r="1670" spans="1:5" hidden="1" x14ac:dyDescent="0.25">
      <c r="A1670" s="309" t="s">
        <v>37</v>
      </c>
      <c r="B1670" s="24" t="s">
        <v>30</v>
      </c>
      <c r="C1670" s="40" t="s">
        <v>310</v>
      </c>
      <c r="D1670" s="24"/>
      <c r="E1670" s="551">
        <v>122.93</v>
      </c>
    </row>
    <row r="1671" spans="1:5" hidden="1" x14ac:dyDescent="0.25">
      <c r="A1671" s="313" t="s">
        <v>34</v>
      </c>
      <c r="B1671" s="45" t="s">
        <v>103</v>
      </c>
      <c r="C1671" s="46"/>
      <c r="D1671" s="46"/>
      <c r="E1671" s="553"/>
    </row>
    <row r="1672" spans="1:5" hidden="1" x14ac:dyDescent="0.25">
      <c r="A1672" s="314" t="s">
        <v>38</v>
      </c>
      <c r="B1672" s="44" t="s">
        <v>26</v>
      </c>
      <c r="C1672" s="40" t="s">
        <v>310</v>
      </c>
      <c r="D1672" s="24"/>
      <c r="E1672" s="550"/>
    </row>
    <row r="1673" spans="1:5" hidden="1" x14ac:dyDescent="0.25">
      <c r="A1673" s="314" t="s">
        <v>39</v>
      </c>
      <c r="B1673" s="24" t="s">
        <v>28</v>
      </c>
      <c r="C1673" s="40" t="s">
        <v>310</v>
      </c>
      <c r="D1673" s="24"/>
      <c r="E1673" s="544"/>
    </row>
    <row r="1674" spans="1:5" hidden="1" x14ac:dyDescent="0.25">
      <c r="A1674" s="21" t="s">
        <v>40</v>
      </c>
      <c r="B1674" s="38" t="s">
        <v>30</v>
      </c>
      <c r="C1674" s="40" t="s">
        <v>310</v>
      </c>
      <c r="D1674" s="24"/>
      <c r="E1674" s="551">
        <v>209.69</v>
      </c>
    </row>
    <row r="1675" spans="1:5" hidden="1" x14ac:dyDescent="0.25">
      <c r="A1675" s="315" t="s">
        <v>42</v>
      </c>
      <c r="B1675" s="51" t="s">
        <v>43</v>
      </c>
      <c r="C1675" s="52"/>
      <c r="D1675" s="52"/>
      <c r="E1675" s="554"/>
    </row>
    <row r="1676" spans="1:5" hidden="1" x14ac:dyDescent="0.25">
      <c r="A1676" s="242" t="s">
        <v>44</v>
      </c>
      <c r="B1676" s="24" t="s">
        <v>104</v>
      </c>
      <c r="C1676" s="24"/>
      <c r="D1676" s="24"/>
      <c r="E1676" s="555" t="s">
        <v>106</v>
      </c>
    </row>
    <row r="1677" spans="1:5" hidden="1" x14ac:dyDescent="0.25">
      <c r="A1677" s="242" t="s">
        <v>45</v>
      </c>
      <c r="B1677" s="24" t="s">
        <v>105</v>
      </c>
      <c r="C1677" s="369" t="s">
        <v>292</v>
      </c>
      <c r="D1677" s="24"/>
      <c r="E1677" s="544">
        <v>0</v>
      </c>
    </row>
    <row r="1678" spans="1:5" ht="17.25" hidden="1" x14ac:dyDescent="0.3">
      <c r="A1678" s="316" t="s">
        <v>46</v>
      </c>
      <c r="B1678" s="136" t="s">
        <v>172</v>
      </c>
      <c r="C1678" s="369" t="s">
        <v>292</v>
      </c>
      <c r="D1678" s="140" t="s">
        <v>181</v>
      </c>
      <c r="E1678" s="563">
        <f>E1679+E1680</f>
        <v>5.5111015432649424</v>
      </c>
    </row>
    <row r="1679" spans="1:5" ht="18.75" hidden="1" x14ac:dyDescent="0.35">
      <c r="A1679" s="242" t="s">
        <v>48</v>
      </c>
      <c r="B1679" s="24" t="s">
        <v>49</v>
      </c>
      <c r="C1679" s="369" t="s">
        <v>292</v>
      </c>
      <c r="D1679" s="122" t="s">
        <v>173</v>
      </c>
      <c r="E1679" s="550">
        <f>E1654</f>
        <v>1.32</v>
      </c>
    </row>
    <row r="1680" spans="1:5" ht="33" hidden="1" x14ac:dyDescent="0.25">
      <c r="A1680" s="310" t="s">
        <v>50</v>
      </c>
      <c r="B1680" s="149" t="s">
        <v>51</v>
      </c>
      <c r="C1680" s="421" t="s">
        <v>292</v>
      </c>
      <c r="D1680" s="54" t="s">
        <v>319</v>
      </c>
      <c r="E1680" s="557">
        <f>E1656</f>
        <v>4.1911015432649421</v>
      </c>
    </row>
    <row r="1681" spans="1:5" hidden="1" x14ac:dyDescent="0.25">
      <c r="A1681" s="242" t="s">
        <v>52</v>
      </c>
      <c r="B1681" s="55" t="s">
        <v>53</v>
      </c>
      <c r="C1681" s="33"/>
      <c r="D1681" s="33"/>
      <c r="E1681" s="548"/>
    </row>
    <row r="1682" spans="1:5" hidden="1" x14ac:dyDescent="0.25">
      <c r="A1682" s="242" t="s">
        <v>54</v>
      </c>
      <c r="B1682" s="24" t="s">
        <v>55</v>
      </c>
      <c r="C1682" s="11" t="s">
        <v>311</v>
      </c>
      <c r="D1682" s="24"/>
      <c r="E1682" s="544">
        <v>9.66</v>
      </c>
    </row>
    <row r="1683" spans="1:5" hidden="1" x14ac:dyDescent="0.25">
      <c r="A1683" s="242" t="s">
        <v>57</v>
      </c>
      <c r="B1683" s="24" t="s">
        <v>58</v>
      </c>
      <c r="C1683" s="369" t="s">
        <v>292</v>
      </c>
      <c r="D1683" s="56" t="s">
        <v>47</v>
      </c>
      <c r="E1683" s="550">
        <f>E1680</f>
        <v>4.1911015432649421</v>
      </c>
    </row>
    <row r="1684" spans="1:5" hidden="1" x14ac:dyDescent="0.25">
      <c r="A1684" s="307" t="s">
        <v>60</v>
      </c>
      <c r="B1684" s="866" t="s">
        <v>61</v>
      </c>
      <c r="C1684" s="867"/>
      <c r="D1684" s="867"/>
      <c r="E1684" s="868"/>
    </row>
    <row r="1685" spans="1:5" ht="17.25" hidden="1" x14ac:dyDescent="0.3">
      <c r="A1685" s="432" t="s">
        <v>62</v>
      </c>
      <c r="B1685" s="343" t="s">
        <v>182</v>
      </c>
      <c r="C1685" s="369" t="s">
        <v>292</v>
      </c>
      <c r="D1685" s="340" t="s">
        <v>180</v>
      </c>
      <c r="E1685" s="571">
        <f>E1687+E1689</f>
        <v>1.8911801907776113</v>
      </c>
    </row>
    <row r="1686" spans="1:5" ht="15.75" hidden="1" x14ac:dyDescent="0.25">
      <c r="A1686" s="433"/>
      <c r="B1686" s="354"/>
      <c r="C1686" s="360" t="s">
        <v>59</v>
      </c>
      <c r="D1686" s="341"/>
      <c r="E1686" s="566">
        <f>E1685*3.4528</f>
        <v>6.5298669627169366</v>
      </c>
    </row>
    <row r="1687" spans="1:5" ht="18.75" hidden="1" x14ac:dyDescent="0.35">
      <c r="A1687" s="434" t="s">
        <v>63</v>
      </c>
      <c r="B1687" s="355" t="s">
        <v>64</v>
      </c>
      <c r="C1687" s="369" t="s">
        <v>292</v>
      </c>
      <c r="D1687" s="334" t="s">
        <v>174</v>
      </c>
      <c r="E1687" s="548">
        <v>0.71</v>
      </c>
    </row>
    <row r="1688" spans="1:5" ht="15.75" hidden="1" x14ac:dyDescent="0.25">
      <c r="A1688" s="435"/>
      <c r="B1688" s="356"/>
      <c r="C1688" s="360" t="s">
        <v>59</v>
      </c>
      <c r="D1688" s="335"/>
      <c r="E1688" s="566">
        <f>E1687*3.4528</f>
        <v>2.4514879999999999</v>
      </c>
    </row>
    <row r="1689" spans="1:5" ht="18.75" hidden="1" x14ac:dyDescent="0.25">
      <c r="A1689" s="434" t="s">
        <v>65</v>
      </c>
      <c r="B1689" s="357" t="s">
        <v>66</v>
      </c>
      <c r="C1689" s="369" t="s">
        <v>292</v>
      </c>
      <c r="D1689" s="351" t="s">
        <v>320</v>
      </c>
      <c r="E1689" s="572">
        <f>0.12+(7.24*E1652/37.6)</f>
        <v>1.1811801907776114</v>
      </c>
    </row>
    <row r="1690" spans="1:5" ht="15.75" hidden="1" x14ac:dyDescent="0.25">
      <c r="A1690" s="435"/>
      <c r="B1690" s="358"/>
      <c r="C1690" s="360" t="s">
        <v>59</v>
      </c>
      <c r="D1690" s="352"/>
      <c r="E1690" s="566">
        <f>E1689*3.4528</f>
        <v>4.0783789627169362</v>
      </c>
    </row>
    <row r="1691" spans="1:5" hidden="1" x14ac:dyDescent="0.25">
      <c r="A1691" s="347" t="s">
        <v>67</v>
      </c>
      <c r="B1691" s="348" t="s">
        <v>68</v>
      </c>
      <c r="C1691" s="9"/>
      <c r="D1691" s="44"/>
      <c r="E1691" s="544"/>
    </row>
    <row r="1692" spans="1:5" hidden="1" x14ac:dyDescent="0.25">
      <c r="A1692" s="12" t="s">
        <v>69</v>
      </c>
      <c r="B1692" s="17" t="s">
        <v>55</v>
      </c>
      <c r="C1692" s="425" t="s">
        <v>311</v>
      </c>
      <c r="D1692" s="24"/>
      <c r="E1692" s="550">
        <v>4.66</v>
      </c>
    </row>
    <row r="1693" spans="1:5" ht="18.75" hidden="1" x14ac:dyDescent="0.35">
      <c r="A1693" s="12" t="s">
        <v>70</v>
      </c>
      <c r="B1693" s="17" t="s">
        <v>71</v>
      </c>
      <c r="C1693" s="369" t="s">
        <v>292</v>
      </c>
      <c r="D1693" s="122" t="s">
        <v>176</v>
      </c>
      <c r="E1693" s="550">
        <f>E1689</f>
        <v>1.1811801907776114</v>
      </c>
    </row>
    <row r="1694" spans="1:5" hidden="1" x14ac:dyDescent="0.25">
      <c r="A1694" s="317" t="s">
        <v>72</v>
      </c>
      <c r="B1694" s="869" t="s">
        <v>73</v>
      </c>
      <c r="C1694" s="870"/>
      <c r="D1694" s="870"/>
      <c r="E1694" s="871"/>
    </row>
    <row r="1695" spans="1:5" hidden="1" x14ac:dyDescent="0.25">
      <c r="A1695" s="864" t="s">
        <v>79</v>
      </c>
      <c r="B1695" s="18" t="s">
        <v>74</v>
      </c>
      <c r="C1695" s="369" t="s">
        <v>292</v>
      </c>
      <c r="D1695" s="124" t="s">
        <v>106</v>
      </c>
      <c r="E1695" s="558">
        <v>0.09</v>
      </c>
    </row>
    <row r="1696" spans="1:5" hidden="1" x14ac:dyDescent="0.25">
      <c r="A1696" s="865"/>
      <c r="B1696" s="19" t="s">
        <v>75</v>
      </c>
      <c r="C1696" s="53" t="s">
        <v>312</v>
      </c>
      <c r="D1696" s="124" t="s">
        <v>106</v>
      </c>
      <c r="E1696" s="558">
        <v>0.68</v>
      </c>
    </row>
    <row r="1697" spans="1:5" hidden="1" x14ac:dyDescent="0.25">
      <c r="A1697" s="865"/>
      <c r="B1697" s="19" t="s">
        <v>300</v>
      </c>
      <c r="C1697" s="422" t="s">
        <v>313</v>
      </c>
      <c r="D1697" s="124" t="s">
        <v>106</v>
      </c>
      <c r="E1697" s="558">
        <v>13.42</v>
      </c>
    </row>
    <row r="1698" spans="1:5" hidden="1" x14ac:dyDescent="0.25">
      <c r="A1698" s="317" t="s">
        <v>80</v>
      </c>
      <c r="B1698" s="127" t="s">
        <v>81</v>
      </c>
      <c r="C1698" s="369" t="s">
        <v>292</v>
      </c>
      <c r="D1698" s="62"/>
      <c r="E1698" s="558">
        <v>-0.02</v>
      </c>
    </row>
    <row r="1699" spans="1:5" hidden="1" x14ac:dyDescent="0.25">
      <c r="A1699" s="317" t="s">
        <v>82</v>
      </c>
      <c r="B1699" s="127" t="s">
        <v>83</v>
      </c>
      <c r="C1699" s="369" t="s">
        <v>292</v>
      </c>
      <c r="D1699" s="62"/>
      <c r="E1699" s="558">
        <v>-0.04</v>
      </c>
    </row>
    <row r="1700" spans="1:5" hidden="1" x14ac:dyDescent="0.25">
      <c r="A1700" s="436" t="s">
        <v>84</v>
      </c>
      <c r="B1700" s="361" t="s">
        <v>267</v>
      </c>
      <c r="C1700" s="369" t="s">
        <v>292</v>
      </c>
      <c r="D1700" s="62"/>
      <c r="E1700" s="559">
        <f>E1652+E1685+E1695+E1698+E1699</f>
        <v>7.4322817340425535</v>
      </c>
    </row>
    <row r="1701" spans="1:5" hidden="1" x14ac:dyDescent="0.25">
      <c r="A1701" s="437"/>
      <c r="B1701" s="363"/>
      <c r="C1701" s="360" t="s">
        <v>59</v>
      </c>
      <c r="D1701" s="62"/>
      <c r="E1701" s="573">
        <f>E1700*3.4528</f>
        <v>25.662182371302126</v>
      </c>
    </row>
    <row r="1702" spans="1:5" hidden="1" x14ac:dyDescent="0.25">
      <c r="A1702" s="438" t="s">
        <v>85</v>
      </c>
      <c r="B1702" s="127" t="s">
        <v>86</v>
      </c>
      <c r="C1702" s="359" t="s">
        <v>59</v>
      </c>
      <c r="D1702" s="62"/>
      <c r="E1702" s="558">
        <v>0</v>
      </c>
    </row>
    <row r="1703" spans="1:5" hidden="1" x14ac:dyDescent="0.25">
      <c r="A1703" s="436" t="s">
        <v>87</v>
      </c>
      <c r="B1703" s="361" t="s">
        <v>88</v>
      </c>
      <c r="C1703" s="369" t="s">
        <v>292</v>
      </c>
      <c r="D1703" s="129"/>
      <c r="E1703" s="559">
        <f>E1700</f>
        <v>7.4322817340425535</v>
      </c>
    </row>
    <row r="1704" spans="1:5" hidden="1" x14ac:dyDescent="0.25">
      <c r="A1704" s="437"/>
      <c r="B1704" s="363"/>
      <c r="C1704" s="360" t="s">
        <v>59</v>
      </c>
      <c r="D1704" s="129"/>
      <c r="E1704" s="573">
        <f>E1703*3.4528</f>
        <v>25.662182371302126</v>
      </c>
    </row>
    <row r="1705" spans="1:5" hidden="1" x14ac:dyDescent="0.25">
      <c r="A1705" s="436" t="s">
        <v>89</v>
      </c>
      <c r="B1705" s="361" t="s">
        <v>90</v>
      </c>
      <c r="C1705" s="369" t="s">
        <v>292</v>
      </c>
      <c r="D1705" s="129"/>
      <c r="E1705" s="560">
        <f>E1703*1.09</f>
        <v>8.101187090106384</v>
      </c>
    </row>
    <row r="1706" spans="1:5" hidden="1" x14ac:dyDescent="0.25">
      <c r="A1706" s="439"/>
      <c r="B1706" s="368"/>
      <c r="C1706" s="360" t="s">
        <v>59</v>
      </c>
      <c r="D1706" s="129"/>
      <c r="E1706" s="573">
        <f>E1705*3.4528</f>
        <v>27.971778784719323</v>
      </c>
    </row>
    <row r="1707" spans="1:5" hidden="1" x14ac:dyDescent="0.25">
      <c r="A1707" s="436" t="s">
        <v>91</v>
      </c>
      <c r="B1707" s="361" t="s">
        <v>92</v>
      </c>
      <c r="C1707" s="369" t="s">
        <v>292</v>
      </c>
      <c r="D1707" s="129"/>
      <c r="E1707" s="560">
        <f>E1614</f>
        <v>7.376621872103799</v>
      </c>
    </row>
    <row r="1708" spans="1:5" hidden="1" x14ac:dyDescent="0.25">
      <c r="A1708" s="437"/>
      <c r="B1708" s="363"/>
      <c r="C1708" s="360" t="s">
        <v>59</v>
      </c>
      <c r="D1708" s="129"/>
      <c r="E1708" s="573">
        <f>E1707*3.4528</f>
        <v>25.469999999999995</v>
      </c>
    </row>
    <row r="1709" spans="1:5" hidden="1" x14ac:dyDescent="0.25">
      <c r="A1709" s="362" t="s">
        <v>93</v>
      </c>
      <c r="B1709" s="363" t="s">
        <v>94</v>
      </c>
      <c r="C1709" s="126" t="s">
        <v>95</v>
      </c>
      <c r="D1709" s="129"/>
      <c r="E1709" s="560">
        <f>(E1700/E1707)*100-100</f>
        <v>0.75454405693808724</v>
      </c>
    </row>
    <row r="1710" spans="1:5" hidden="1" x14ac:dyDescent="0.25">
      <c r="A1710" s="317" t="s">
        <v>96</v>
      </c>
      <c r="B1710" s="128" t="s">
        <v>97</v>
      </c>
      <c r="C1710" s="130" t="s">
        <v>98</v>
      </c>
      <c r="D1710" s="131"/>
      <c r="E1710" s="565">
        <v>6.3065860000000002</v>
      </c>
    </row>
    <row r="1711" spans="1:5" hidden="1" x14ac:dyDescent="0.25">
      <c r="A1711" s="317" t="s">
        <v>99</v>
      </c>
      <c r="B1711" s="128" t="s">
        <v>100</v>
      </c>
      <c r="C1711" s="125" t="s">
        <v>98</v>
      </c>
      <c r="D1711" s="62"/>
      <c r="E1711" s="565">
        <v>5.9149430000000001</v>
      </c>
    </row>
    <row r="1712" spans="1:5" ht="15.75" hidden="1" thickBot="1" x14ac:dyDescent="0.3">
      <c r="A1712" s="22" t="s">
        <v>101</v>
      </c>
      <c r="B1712" s="23" t="s">
        <v>102</v>
      </c>
      <c r="C1712" s="318" t="s">
        <v>98</v>
      </c>
      <c r="D1712" s="319"/>
      <c r="E1712" s="562">
        <v>0</v>
      </c>
    </row>
    <row r="1713" spans="1:5" hidden="1" x14ac:dyDescent="0.25"/>
    <row r="1714" spans="1:5" hidden="1" x14ac:dyDescent="0.25"/>
    <row r="1715" spans="1:5" hidden="1" x14ac:dyDescent="0.25"/>
    <row r="1716" spans="1:5" hidden="1" x14ac:dyDescent="0.25"/>
    <row r="1717" spans="1:5" hidden="1" x14ac:dyDescent="0.25"/>
    <row r="1718" spans="1:5" hidden="1" x14ac:dyDescent="0.25">
      <c r="B1718" t="s">
        <v>189</v>
      </c>
      <c r="C1718" t="s">
        <v>193</v>
      </c>
      <c r="D1718" s="146" t="s">
        <v>190</v>
      </c>
    </row>
    <row r="1719" spans="1:5" hidden="1" x14ac:dyDescent="0.25">
      <c r="C1719" s="153" t="s">
        <v>194</v>
      </c>
    </row>
    <row r="1720" spans="1:5" hidden="1" x14ac:dyDescent="0.25"/>
    <row r="1721" spans="1:5" hidden="1" x14ac:dyDescent="0.25">
      <c r="A1721" s="132" t="s">
        <v>0</v>
      </c>
      <c r="B1721" s="132"/>
      <c r="C1721" s="132"/>
      <c r="D1721" s="132"/>
      <c r="E1721" s="480" t="s">
        <v>107</v>
      </c>
    </row>
    <row r="1722" spans="1:5" hidden="1" x14ac:dyDescent="0.25">
      <c r="A1722" s="132" t="s">
        <v>1</v>
      </c>
      <c r="B1722" s="132"/>
      <c r="C1722" s="132"/>
      <c r="D1722" s="132" t="s">
        <v>178</v>
      </c>
      <c r="E1722" s="519"/>
    </row>
    <row r="1723" spans="1:5" hidden="1" x14ac:dyDescent="0.25">
      <c r="A1723" s="132" t="s">
        <v>2</v>
      </c>
      <c r="B1723" s="132"/>
      <c r="C1723" s="132"/>
      <c r="D1723" s="132" t="s">
        <v>305</v>
      </c>
      <c r="E1723" s="520"/>
    </row>
    <row r="1724" spans="1:5" hidden="1" x14ac:dyDescent="0.25">
      <c r="A1724" s="132" t="s">
        <v>3</v>
      </c>
      <c r="B1724" s="132"/>
      <c r="C1724" s="132"/>
      <c r="D1724" s="132" t="s">
        <v>168</v>
      </c>
      <c r="E1724" s="519"/>
    </row>
    <row r="1725" spans="1:5" hidden="1" x14ac:dyDescent="0.25">
      <c r="A1725" s="132" t="s">
        <v>4</v>
      </c>
      <c r="B1725" s="132"/>
      <c r="C1725" s="132"/>
      <c r="D1725" s="132" t="s">
        <v>169</v>
      </c>
      <c r="E1725" s="519"/>
    </row>
    <row r="1726" spans="1:5" hidden="1" x14ac:dyDescent="0.25">
      <c r="A1726" s="152" t="s">
        <v>192</v>
      </c>
      <c r="B1726" s="132"/>
      <c r="C1726" s="132"/>
      <c r="D1726" s="132"/>
      <c r="E1726" s="519"/>
    </row>
    <row r="1727" spans="1:5" hidden="1" x14ac:dyDescent="0.25">
      <c r="A1727" s="152" t="s">
        <v>316</v>
      </c>
      <c r="B1727" s="132"/>
      <c r="C1727" s="132"/>
      <c r="D1727" s="132" t="s">
        <v>317</v>
      </c>
      <c r="E1727" s="519"/>
    </row>
    <row r="1728" spans="1:5" hidden="1" x14ac:dyDescent="0.25">
      <c r="A1728" s="1"/>
      <c r="B1728" s="1"/>
      <c r="C1728" s="1"/>
      <c r="D1728" s="1"/>
      <c r="E1728" s="463"/>
    </row>
    <row r="1729" spans="1:5" ht="15.75" hidden="1" x14ac:dyDescent="0.25">
      <c r="A1729" s="141" t="s">
        <v>296</v>
      </c>
      <c r="B1729" s="141" t="s">
        <v>326</v>
      </c>
      <c r="C1729" s="2"/>
      <c r="D1729" s="2"/>
    </row>
    <row r="1730" spans="1:5" ht="15.75" hidden="1" x14ac:dyDescent="0.25">
      <c r="A1730" s="141"/>
      <c r="B1730" s="141"/>
      <c r="C1730" s="328">
        <v>42060</v>
      </c>
      <c r="D1730" s="2"/>
    </row>
    <row r="1731" spans="1:5" ht="15.75" hidden="1" x14ac:dyDescent="0.25">
      <c r="A1731" s="141"/>
      <c r="B1731" s="141"/>
      <c r="C1731" s="151" t="s">
        <v>191</v>
      </c>
      <c r="D1731" s="2"/>
    </row>
    <row r="1732" spans="1:5" hidden="1" x14ac:dyDescent="0.25">
      <c r="A1732" s="2" t="s">
        <v>6</v>
      </c>
      <c r="B1732" s="2"/>
      <c r="C1732" s="2"/>
      <c r="D1732" s="2"/>
      <c r="E1732" s="522"/>
    </row>
    <row r="1733" spans="1:5" hidden="1" x14ac:dyDescent="0.25">
      <c r="A1733" s="1" t="s">
        <v>260</v>
      </c>
      <c r="B1733" s="1"/>
      <c r="C1733" s="1"/>
      <c r="D1733" s="1"/>
      <c r="E1733" s="463"/>
    </row>
    <row r="1734" spans="1:5" hidden="1" x14ac:dyDescent="0.25">
      <c r="A1734" s="1" t="s">
        <v>7</v>
      </c>
      <c r="B1734" s="1"/>
      <c r="C1734" s="1"/>
      <c r="D1734" s="1"/>
      <c r="E1734" s="463"/>
    </row>
    <row r="1735" spans="1:5" hidden="1" x14ac:dyDescent="0.25">
      <c r="A1735" s="326" t="s">
        <v>318</v>
      </c>
      <c r="B1735" s="326"/>
      <c r="C1735" s="326"/>
      <c r="D1735" s="326"/>
      <c r="E1735" s="564"/>
    </row>
    <row r="1736" spans="1:5" hidden="1" x14ac:dyDescent="0.25">
      <c r="A1736" s="238" t="s">
        <v>8</v>
      </c>
      <c r="B1736" s="239" t="s">
        <v>9</v>
      </c>
      <c r="C1736" s="239" t="s">
        <v>10</v>
      </c>
      <c r="D1736" s="239" t="s">
        <v>11</v>
      </c>
      <c r="E1736" s="543" t="s">
        <v>12</v>
      </c>
    </row>
    <row r="1737" spans="1:5" ht="15.75" hidden="1" thickBot="1" x14ac:dyDescent="0.3">
      <c r="A1737" s="443">
        <v>1</v>
      </c>
      <c r="B1737" s="444">
        <v>2</v>
      </c>
      <c r="C1737" s="444">
        <v>3</v>
      </c>
      <c r="D1737" s="444">
        <v>4</v>
      </c>
      <c r="E1737" s="574">
        <v>5</v>
      </c>
    </row>
    <row r="1738" spans="1:5" hidden="1" x14ac:dyDescent="0.25">
      <c r="A1738" s="440" t="s">
        <v>13</v>
      </c>
      <c r="B1738" s="441" t="s">
        <v>14</v>
      </c>
      <c r="C1738" s="442"/>
      <c r="D1738" s="442"/>
      <c r="E1738" s="575"/>
    </row>
    <row r="1739" spans="1:5" ht="17.25" hidden="1" x14ac:dyDescent="0.3">
      <c r="A1739" s="426" t="s">
        <v>15</v>
      </c>
      <c r="B1739" s="380" t="s">
        <v>183</v>
      </c>
      <c r="C1739" s="369" t="s">
        <v>292</v>
      </c>
      <c r="D1739" s="308" t="s">
        <v>179</v>
      </c>
      <c r="E1739" s="546">
        <f>E1741+E1743</f>
        <v>5.8088201851025865</v>
      </c>
    </row>
    <row r="1740" spans="1:5" ht="15.75" hidden="1" x14ac:dyDescent="0.25">
      <c r="A1740" s="427"/>
      <c r="B1740" s="381"/>
      <c r="C1740" s="360" t="s">
        <v>59</v>
      </c>
      <c r="D1740" s="332"/>
      <c r="E1740" s="578">
        <v>20.07</v>
      </c>
    </row>
    <row r="1741" spans="1:5" ht="18.75" hidden="1" x14ac:dyDescent="0.35">
      <c r="A1741" s="428" t="s">
        <v>16</v>
      </c>
      <c r="B1741" s="38" t="s">
        <v>18</v>
      </c>
      <c r="C1741" s="369" t="s">
        <v>292</v>
      </c>
      <c r="D1741" s="334" t="s">
        <v>171</v>
      </c>
      <c r="E1741" s="567">
        <v>1.32</v>
      </c>
    </row>
    <row r="1742" spans="1:5" ht="15.75" hidden="1" x14ac:dyDescent="0.25">
      <c r="A1742" s="429"/>
      <c r="B1742" s="382"/>
      <c r="C1742" s="360" t="s">
        <v>59</v>
      </c>
      <c r="D1742" s="336"/>
      <c r="E1742" s="568">
        <v>4.57</v>
      </c>
    </row>
    <row r="1743" spans="1:5" ht="33" hidden="1" x14ac:dyDescent="0.25">
      <c r="A1743" s="430" t="s">
        <v>17</v>
      </c>
      <c r="B1743" s="424" t="s">
        <v>329</v>
      </c>
      <c r="C1743" s="369" t="s">
        <v>292</v>
      </c>
      <c r="D1743" s="338" t="s">
        <v>327</v>
      </c>
      <c r="E1743" s="576">
        <f>0.08+((44951*E1749+226*E1757+106.1*E1753+509*E1761)/(44.84*1000))/10</f>
        <v>4.4888201851025862</v>
      </c>
    </row>
    <row r="1744" spans="1:5" hidden="1" x14ac:dyDescent="0.25">
      <c r="A1744" s="431"/>
      <c r="B1744" s="384"/>
      <c r="C1744" s="360" t="s">
        <v>59</v>
      </c>
      <c r="D1744" s="339"/>
      <c r="E1744" s="577">
        <f>E1743*3.4528</f>
        <v>15.498998335122209</v>
      </c>
    </row>
    <row r="1745" spans="1:5" hidden="1" x14ac:dyDescent="0.25">
      <c r="A1745" s="372" t="s">
        <v>21</v>
      </c>
      <c r="B1745" s="373" t="s">
        <v>22</v>
      </c>
      <c r="C1745" s="31"/>
      <c r="D1745" s="337"/>
      <c r="E1745" s="548"/>
    </row>
    <row r="1746" spans="1:5" hidden="1" x14ac:dyDescent="0.25">
      <c r="A1746" s="311" t="s">
        <v>23</v>
      </c>
      <c r="B1746" s="48" t="s">
        <v>24</v>
      </c>
      <c r="C1746" s="49"/>
      <c r="D1746" s="49"/>
      <c r="E1746" s="549"/>
    </row>
    <row r="1747" spans="1:5" hidden="1" x14ac:dyDescent="0.25">
      <c r="A1747" s="309" t="s">
        <v>25</v>
      </c>
      <c r="B1747" s="24" t="s">
        <v>26</v>
      </c>
      <c r="C1747" s="32" t="s">
        <v>328</v>
      </c>
      <c r="D1747" s="24"/>
      <c r="E1747" s="550">
        <v>27.91</v>
      </c>
    </row>
    <row r="1748" spans="1:5" hidden="1" x14ac:dyDescent="0.25">
      <c r="A1748" s="309" t="s">
        <v>27</v>
      </c>
      <c r="B1748" s="24" t="s">
        <v>28</v>
      </c>
      <c r="C1748" s="32" t="s">
        <v>328</v>
      </c>
      <c r="D1748" s="24"/>
      <c r="E1748" s="544">
        <v>12.56</v>
      </c>
    </row>
    <row r="1749" spans="1:5" hidden="1" x14ac:dyDescent="0.25">
      <c r="A1749" s="309" t="s">
        <v>29</v>
      </c>
      <c r="B1749" s="38" t="s">
        <v>30</v>
      </c>
      <c r="C1749" s="32" t="s">
        <v>328</v>
      </c>
      <c r="D1749" s="24"/>
      <c r="E1749" s="551">
        <f>E1747+E1748</f>
        <v>40.47</v>
      </c>
    </row>
    <row r="1750" spans="1:5" hidden="1" x14ac:dyDescent="0.25">
      <c r="A1750" s="312" t="s">
        <v>31</v>
      </c>
      <c r="B1750" s="41" t="s">
        <v>265</v>
      </c>
      <c r="C1750" s="42"/>
      <c r="D1750" s="42"/>
      <c r="E1750" s="552"/>
    </row>
    <row r="1751" spans="1:5" hidden="1" x14ac:dyDescent="0.25">
      <c r="A1751" s="309" t="s">
        <v>35</v>
      </c>
      <c r="B1751" s="24" t="s">
        <v>26</v>
      </c>
      <c r="C1751" s="419" t="s">
        <v>310</v>
      </c>
      <c r="D1751" s="24"/>
      <c r="E1751" s="550"/>
    </row>
    <row r="1752" spans="1:5" hidden="1" x14ac:dyDescent="0.25">
      <c r="A1752" s="309" t="s">
        <v>36</v>
      </c>
      <c r="B1752" s="24" t="s">
        <v>28</v>
      </c>
      <c r="C1752" s="40" t="s">
        <v>310</v>
      </c>
      <c r="D1752" s="24"/>
      <c r="E1752" s="550"/>
    </row>
    <row r="1753" spans="1:5" hidden="1" x14ac:dyDescent="0.25">
      <c r="A1753" s="309" t="s">
        <v>37</v>
      </c>
      <c r="B1753" s="24" t="s">
        <v>30</v>
      </c>
      <c r="C1753" s="40" t="s">
        <v>310</v>
      </c>
      <c r="D1753" s="24"/>
      <c r="E1753" s="551">
        <v>186.31</v>
      </c>
    </row>
    <row r="1754" spans="1:5" hidden="1" x14ac:dyDescent="0.25">
      <c r="A1754" s="312" t="s">
        <v>31</v>
      </c>
      <c r="B1754" s="41" t="s">
        <v>266</v>
      </c>
      <c r="C1754" s="420"/>
      <c r="D1754" s="42"/>
      <c r="E1754" s="552"/>
    </row>
    <row r="1755" spans="1:5" hidden="1" x14ac:dyDescent="0.25">
      <c r="A1755" s="309" t="s">
        <v>35</v>
      </c>
      <c r="B1755" s="24" t="s">
        <v>26</v>
      </c>
      <c r="C1755" s="40" t="s">
        <v>310</v>
      </c>
      <c r="D1755" s="24"/>
      <c r="E1755" s="550"/>
    </row>
    <row r="1756" spans="1:5" hidden="1" x14ac:dyDescent="0.25">
      <c r="A1756" s="309" t="s">
        <v>36</v>
      </c>
      <c r="B1756" s="24" t="s">
        <v>28</v>
      </c>
      <c r="C1756" s="40" t="s">
        <v>310</v>
      </c>
      <c r="D1756" s="24"/>
      <c r="E1756" s="550"/>
    </row>
    <row r="1757" spans="1:5" hidden="1" x14ac:dyDescent="0.25">
      <c r="A1757" s="309" t="s">
        <v>37</v>
      </c>
      <c r="B1757" s="24" t="s">
        <v>30</v>
      </c>
      <c r="C1757" s="40" t="s">
        <v>310</v>
      </c>
      <c r="D1757" s="24"/>
      <c r="E1757" s="551">
        <v>136.41999999999999</v>
      </c>
    </row>
    <row r="1758" spans="1:5" hidden="1" x14ac:dyDescent="0.25">
      <c r="A1758" s="313" t="s">
        <v>34</v>
      </c>
      <c r="B1758" s="45" t="s">
        <v>103</v>
      </c>
      <c r="C1758" s="46"/>
      <c r="D1758" s="46"/>
      <c r="E1758" s="553"/>
    </row>
    <row r="1759" spans="1:5" hidden="1" x14ac:dyDescent="0.25">
      <c r="A1759" s="314" t="s">
        <v>38</v>
      </c>
      <c r="B1759" s="44" t="s">
        <v>26</v>
      </c>
      <c r="C1759" s="40" t="s">
        <v>310</v>
      </c>
      <c r="D1759" s="24"/>
      <c r="E1759" s="550"/>
    </row>
    <row r="1760" spans="1:5" hidden="1" x14ac:dyDescent="0.25">
      <c r="A1760" s="314" t="s">
        <v>39</v>
      </c>
      <c r="B1760" s="24" t="s">
        <v>28</v>
      </c>
      <c r="C1760" s="40" t="s">
        <v>310</v>
      </c>
      <c r="D1760" s="24"/>
      <c r="E1760" s="544"/>
    </row>
    <row r="1761" spans="1:5" hidden="1" x14ac:dyDescent="0.25">
      <c r="A1761" s="21" t="s">
        <v>40</v>
      </c>
      <c r="B1761" s="38" t="s">
        <v>30</v>
      </c>
      <c r="C1761" s="40" t="s">
        <v>310</v>
      </c>
      <c r="D1761" s="24"/>
      <c r="E1761" s="551">
        <v>210.51</v>
      </c>
    </row>
    <row r="1762" spans="1:5" hidden="1" x14ac:dyDescent="0.25">
      <c r="A1762" s="315" t="s">
        <v>42</v>
      </c>
      <c r="B1762" s="51" t="s">
        <v>43</v>
      </c>
      <c r="C1762" s="52"/>
      <c r="D1762" s="52"/>
      <c r="E1762" s="554"/>
    </row>
    <row r="1763" spans="1:5" hidden="1" x14ac:dyDescent="0.25">
      <c r="A1763" s="242" t="s">
        <v>44</v>
      </c>
      <c r="B1763" s="24" t="s">
        <v>104</v>
      </c>
      <c r="C1763" s="24"/>
      <c r="D1763" s="24"/>
      <c r="E1763" s="555" t="s">
        <v>106</v>
      </c>
    </row>
    <row r="1764" spans="1:5" hidden="1" x14ac:dyDescent="0.25">
      <c r="A1764" s="242" t="s">
        <v>45</v>
      </c>
      <c r="B1764" s="24" t="s">
        <v>105</v>
      </c>
      <c r="C1764" s="369" t="s">
        <v>292</v>
      </c>
      <c r="D1764" s="24"/>
      <c r="E1764" s="544">
        <v>0</v>
      </c>
    </row>
    <row r="1765" spans="1:5" ht="17.25" hidden="1" x14ac:dyDescent="0.3">
      <c r="A1765" s="316" t="s">
        <v>46</v>
      </c>
      <c r="B1765" s="136" t="s">
        <v>172</v>
      </c>
      <c r="C1765" s="369" t="s">
        <v>292</v>
      </c>
      <c r="D1765" s="140" t="s">
        <v>181</v>
      </c>
      <c r="E1765" s="563">
        <f>E1766+E1767</f>
        <v>5.8088201851025865</v>
      </c>
    </row>
    <row r="1766" spans="1:5" ht="18.75" hidden="1" x14ac:dyDescent="0.35">
      <c r="A1766" s="242" t="s">
        <v>48</v>
      </c>
      <c r="B1766" s="24" t="s">
        <v>49</v>
      </c>
      <c r="C1766" s="369" t="s">
        <v>292</v>
      </c>
      <c r="D1766" s="122" t="s">
        <v>173</v>
      </c>
      <c r="E1766" s="550">
        <f>E1741</f>
        <v>1.32</v>
      </c>
    </row>
    <row r="1767" spans="1:5" ht="33" hidden="1" x14ac:dyDescent="0.25">
      <c r="A1767" s="310" t="s">
        <v>50</v>
      </c>
      <c r="B1767" s="149" t="s">
        <v>51</v>
      </c>
      <c r="C1767" s="421" t="s">
        <v>292</v>
      </c>
      <c r="D1767" s="54" t="s">
        <v>319</v>
      </c>
      <c r="E1767" s="557">
        <f>E1743</f>
        <v>4.4888201851025862</v>
      </c>
    </row>
    <row r="1768" spans="1:5" hidden="1" x14ac:dyDescent="0.25">
      <c r="A1768" s="242" t="s">
        <v>52</v>
      </c>
      <c r="B1768" s="55" t="s">
        <v>53</v>
      </c>
      <c r="C1768" s="33"/>
      <c r="D1768" s="33"/>
      <c r="E1768" s="548"/>
    </row>
    <row r="1769" spans="1:5" hidden="1" x14ac:dyDescent="0.25">
      <c r="A1769" s="242" t="s">
        <v>54</v>
      </c>
      <c r="B1769" s="24" t="s">
        <v>55</v>
      </c>
      <c r="C1769" s="11" t="s">
        <v>311</v>
      </c>
      <c r="D1769" s="24"/>
      <c r="E1769" s="544">
        <v>9.66</v>
      </c>
    </row>
    <row r="1770" spans="1:5" hidden="1" x14ac:dyDescent="0.25">
      <c r="A1770" s="242" t="s">
        <v>57</v>
      </c>
      <c r="B1770" s="24" t="s">
        <v>58</v>
      </c>
      <c r="C1770" s="369" t="s">
        <v>292</v>
      </c>
      <c r="D1770" s="56" t="s">
        <v>47</v>
      </c>
      <c r="E1770" s="550">
        <f>E1767</f>
        <v>4.4888201851025862</v>
      </c>
    </row>
    <row r="1771" spans="1:5" hidden="1" x14ac:dyDescent="0.25">
      <c r="A1771" s="307" t="s">
        <v>60</v>
      </c>
      <c r="B1771" s="866" t="s">
        <v>61</v>
      </c>
      <c r="C1771" s="867"/>
      <c r="D1771" s="867"/>
      <c r="E1771" s="868"/>
    </row>
    <row r="1772" spans="1:5" ht="17.25" hidden="1" x14ac:dyDescent="0.3">
      <c r="A1772" s="432" t="s">
        <v>62</v>
      </c>
      <c r="B1772" s="343" t="s">
        <v>182</v>
      </c>
      <c r="C1772" s="369" t="s">
        <v>292</v>
      </c>
      <c r="D1772" s="340" t="s">
        <v>180</v>
      </c>
      <c r="E1772" s="571">
        <f>E1774+E1776</f>
        <v>1.9485068654293278</v>
      </c>
    </row>
    <row r="1773" spans="1:5" ht="15.75" hidden="1" x14ac:dyDescent="0.25">
      <c r="A1773" s="433"/>
      <c r="B1773" s="354"/>
      <c r="C1773" s="360" t="s">
        <v>59</v>
      </c>
      <c r="D1773" s="341"/>
      <c r="E1773" s="578">
        <f>E1772*3.4528</f>
        <v>6.7278045049543831</v>
      </c>
    </row>
    <row r="1774" spans="1:5" ht="18.75" hidden="1" x14ac:dyDescent="0.35">
      <c r="A1774" s="434" t="s">
        <v>63</v>
      </c>
      <c r="B1774" s="355" t="s">
        <v>64</v>
      </c>
      <c r="C1774" s="369" t="s">
        <v>292</v>
      </c>
      <c r="D1774" s="334" t="s">
        <v>174</v>
      </c>
      <c r="E1774" s="548">
        <v>0.71</v>
      </c>
    </row>
    <row r="1775" spans="1:5" ht="15.75" hidden="1" x14ac:dyDescent="0.25">
      <c r="A1775" s="435"/>
      <c r="B1775" s="356"/>
      <c r="C1775" s="360" t="s">
        <v>59</v>
      </c>
      <c r="D1775" s="335"/>
      <c r="E1775" s="578">
        <f>E1774*3.4528</f>
        <v>2.4514879999999999</v>
      </c>
    </row>
    <row r="1776" spans="1:5" ht="18.75" hidden="1" x14ac:dyDescent="0.25">
      <c r="A1776" s="434" t="s">
        <v>65</v>
      </c>
      <c r="B1776" s="357" t="s">
        <v>66</v>
      </c>
      <c r="C1776" s="369" t="s">
        <v>292</v>
      </c>
      <c r="D1776" s="351" t="s">
        <v>320</v>
      </c>
      <c r="E1776" s="572">
        <f>0.12+(7.24*E1739/37.6)</f>
        <v>1.2385068654293279</v>
      </c>
    </row>
    <row r="1777" spans="1:5" ht="15.75" hidden="1" x14ac:dyDescent="0.25">
      <c r="A1777" s="435"/>
      <c r="B1777" s="358"/>
      <c r="C1777" s="360" t="s">
        <v>59</v>
      </c>
      <c r="D1777" s="352"/>
      <c r="E1777" s="578">
        <f>E1776*3.4528</f>
        <v>4.2763165049543828</v>
      </c>
    </row>
    <row r="1778" spans="1:5" hidden="1" x14ac:dyDescent="0.25">
      <c r="A1778" s="347" t="s">
        <v>67</v>
      </c>
      <c r="B1778" s="348" t="s">
        <v>68</v>
      </c>
      <c r="C1778" s="9"/>
      <c r="D1778" s="44"/>
      <c r="E1778" s="544"/>
    </row>
    <row r="1779" spans="1:5" hidden="1" x14ac:dyDescent="0.25">
      <c r="A1779" s="12" t="s">
        <v>69</v>
      </c>
      <c r="B1779" s="17" t="s">
        <v>55</v>
      </c>
      <c r="C1779" s="425" t="s">
        <v>311</v>
      </c>
      <c r="D1779" s="24"/>
      <c r="E1779" s="550">
        <v>4.66</v>
      </c>
    </row>
    <row r="1780" spans="1:5" ht="18.75" hidden="1" x14ac:dyDescent="0.35">
      <c r="A1780" s="12" t="s">
        <v>70</v>
      </c>
      <c r="B1780" s="17" t="s">
        <v>71</v>
      </c>
      <c r="C1780" s="369" t="s">
        <v>292</v>
      </c>
      <c r="D1780" s="122" t="s">
        <v>176</v>
      </c>
      <c r="E1780" s="550">
        <f>E1776</f>
        <v>1.2385068654293279</v>
      </c>
    </row>
    <row r="1781" spans="1:5" hidden="1" x14ac:dyDescent="0.25">
      <c r="A1781" s="317" t="s">
        <v>72</v>
      </c>
      <c r="B1781" s="869" t="s">
        <v>73</v>
      </c>
      <c r="C1781" s="870"/>
      <c r="D1781" s="870"/>
      <c r="E1781" s="871"/>
    </row>
    <row r="1782" spans="1:5" hidden="1" x14ac:dyDescent="0.25">
      <c r="A1782" s="864" t="s">
        <v>79</v>
      </c>
      <c r="B1782" s="18" t="s">
        <v>74</v>
      </c>
      <c r="C1782" s="369" t="s">
        <v>292</v>
      </c>
      <c r="D1782" s="124" t="s">
        <v>106</v>
      </c>
      <c r="E1782" s="558">
        <v>0.09</v>
      </c>
    </row>
    <row r="1783" spans="1:5" hidden="1" x14ac:dyDescent="0.25">
      <c r="A1783" s="865"/>
      <c r="B1783" s="19" t="s">
        <v>75</v>
      </c>
      <c r="C1783" s="53" t="s">
        <v>312</v>
      </c>
      <c r="D1783" s="124" t="s">
        <v>106</v>
      </c>
      <c r="E1783" s="558">
        <v>0.68</v>
      </c>
    </row>
    <row r="1784" spans="1:5" hidden="1" x14ac:dyDescent="0.25">
      <c r="A1784" s="865"/>
      <c r="B1784" s="19" t="s">
        <v>300</v>
      </c>
      <c r="C1784" s="422" t="s">
        <v>313</v>
      </c>
      <c r="D1784" s="124" t="s">
        <v>106</v>
      </c>
      <c r="E1784" s="558">
        <v>13.42</v>
      </c>
    </row>
    <row r="1785" spans="1:5" hidden="1" x14ac:dyDescent="0.25">
      <c r="A1785" s="317" t="s">
        <v>80</v>
      </c>
      <c r="B1785" s="127" t="s">
        <v>81</v>
      </c>
      <c r="C1785" s="369" t="s">
        <v>292</v>
      </c>
      <c r="D1785" s="62"/>
      <c r="E1785" s="558">
        <v>-0.02</v>
      </c>
    </row>
    <row r="1786" spans="1:5" hidden="1" x14ac:dyDescent="0.25">
      <c r="A1786" s="317" t="s">
        <v>82</v>
      </c>
      <c r="B1786" s="127" t="s">
        <v>83</v>
      </c>
      <c r="C1786" s="369" t="s">
        <v>292</v>
      </c>
      <c r="D1786" s="62"/>
      <c r="E1786" s="558">
        <v>-0.04</v>
      </c>
    </row>
    <row r="1787" spans="1:5" hidden="1" x14ac:dyDescent="0.25">
      <c r="A1787" s="436" t="s">
        <v>84</v>
      </c>
      <c r="B1787" s="361" t="s">
        <v>267</v>
      </c>
      <c r="C1787" s="369" t="s">
        <v>292</v>
      </c>
      <c r="D1787" s="62"/>
      <c r="E1787" s="559">
        <f>E1739+E1772+E1782+E1785+E1786</f>
        <v>7.787327050531915</v>
      </c>
    </row>
    <row r="1788" spans="1:5" hidden="1" x14ac:dyDescent="0.25">
      <c r="A1788" s="437"/>
      <c r="B1788" s="363"/>
      <c r="C1788" s="360" t="s">
        <v>59</v>
      </c>
      <c r="D1788" s="62"/>
      <c r="E1788" s="579">
        <v>26.9</v>
      </c>
    </row>
    <row r="1789" spans="1:5" hidden="1" x14ac:dyDescent="0.25">
      <c r="A1789" s="438" t="s">
        <v>85</v>
      </c>
      <c r="B1789" s="127" t="s">
        <v>86</v>
      </c>
      <c r="C1789" s="359" t="s">
        <v>59</v>
      </c>
      <c r="D1789" s="62"/>
      <c r="E1789" s="558">
        <v>0</v>
      </c>
    </row>
    <row r="1790" spans="1:5" hidden="1" x14ac:dyDescent="0.25">
      <c r="A1790" s="436" t="s">
        <v>87</v>
      </c>
      <c r="B1790" s="361" t="s">
        <v>88</v>
      </c>
      <c r="C1790" s="369" t="s">
        <v>292</v>
      </c>
      <c r="D1790" s="129"/>
      <c r="E1790" s="559">
        <f>E1787</f>
        <v>7.787327050531915</v>
      </c>
    </row>
    <row r="1791" spans="1:5" hidden="1" x14ac:dyDescent="0.25">
      <c r="A1791" s="437"/>
      <c r="B1791" s="363"/>
      <c r="C1791" s="360" t="s">
        <v>59</v>
      </c>
      <c r="D1791" s="129"/>
      <c r="E1791" s="579">
        <v>26.9</v>
      </c>
    </row>
    <row r="1792" spans="1:5" hidden="1" x14ac:dyDescent="0.25">
      <c r="A1792" s="436" t="s">
        <v>89</v>
      </c>
      <c r="B1792" s="361" t="s">
        <v>90</v>
      </c>
      <c r="C1792" s="369" t="s">
        <v>292</v>
      </c>
      <c r="D1792" s="129"/>
      <c r="E1792" s="560">
        <f>E1790*1.09</f>
        <v>8.4881864850797886</v>
      </c>
    </row>
    <row r="1793" spans="1:6" hidden="1" x14ac:dyDescent="0.25">
      <c r="A1793" s="439"/>
      <c r="B1793" s="368"/>
      <c r="C1793" s="360" t="s">
        <v>59</v>
      </c>
      <c r="D1793" s="129"/>
      <c r="E1793" s="579">
        <v>29.32</v>
      </c>
    </row>
    <row r="1794" spans="1:6" hidden="1" x14ac:dyDescent="0.25">
      <c r="A1794" s="436" t="s">
        <v>91</v>
      </c>
      <c r="B1794" s="361" t="s">
        <v>92</v>
      </c>
      <c r="C1794" s="369" t="s">
        <v>292</v>
      </c>
      <c r="D1794" s="129"/>
      <c r="E1794" s="560">
        <v>7.43</v>
      </c>
    </row>
    <row r="1795" spans="1:6" hidden="1" x14ac:dyDescent="0.25">
      <c r="A1795" s="437"/>
      <c r="B1795" s="363"/>
      <c r="C1795" s="360" t="s">
        <v>59</v>
      </c>
      <c r="D1795" s="129"/>
      <c r="E1795" s="579">
        <v>25.66</v>
      </c>
    </row>
    <row r="1796" spans="1:6" hidden="1" x14ac:dyDescent="0.25">
      <c r="A1796" s="362" t="s">
        <v>93</v>
      </c>
      <c r="B1796" s="363" t="s">
        <v>94</v>
      </c>
      <c r="C1796" s="126" t="s">
        <v>95</v>
      </c>
      <c r="D1796" s="129"/>
      <c r="E1796" s="560">
        <f>(E1787/E1794)*100-100</f>
        <v>4.8092469788952172</v>
      </c>
    </row>
    <row r="1797" spans="1:6" hidden="1" x14ac:dyDescent="0.25">
      <c r="A1797" s="317" t="s">
        <v>96</v>
      </c>
      <c r="B1797" s="128" t="s">
        <v>97</v>
      </c>
      <c r="C1797" s="130" t="s">
        <v>98</v>
      </c>
      <c r="D1797" s="131"/>
      <c r="E1797" s="565">
        <v>6.3858579999999998</v>
      </c>
    </row>
    <row r="1798" spans="1:6" hidden="1" x14ac:dyDescent="0.25">
      <c r="A1798" s="317" t="s">
        <v>99</v>
      </c>
      <c r="B1798" s="128" t="s">
        <v>100</v>
      </c>
      <c r="C1798" s="125" t="s">
        <v>98</v>
      </c>
      <c r="D1798" s="62"/>
      <c r="E1798" s="565">
        <v>5.6309570000000004</v>
      </c>
    </row>
    <row r="1799" spans="1:6" ht="15.75" hidden="1" thickBot="1" x14ac:dyDescent="0.3">
      <c r="A1799" s="22" t="s">
        <v>101</v>
      </c>
      <c r="B1799" s="23" t="s">
        <v>102</v>
      </c>
      <c r="C1799" s="318" t="s">
        <v>98</v>
      </c>
      <c r="D1799" s="319"/>
      <c r="E1799" s="562">
        <v>0</v>
      </c>
    </row>
    <row r="1800" spans="1:6" hidden="1" x14ac:dyDescent="0.25"/>
    <row r="1801" spans="1:6" hidden="1" x14ac:dyDescent="0.25"/>
    <row r="1802" spans="1:6" hidden="1" x14ac:dyDescent="0.25"/>
    <row r="1803" spans="1:6" hidden="1" x14ac:dyDescent="0.25"/>
    <row r="1804" spans="1:6" hidden="1" x14ac:dyDescent="0.25"/>
    <row r="1805" spans="1:6" hidden="1" x14ac:dyDescent="0.25">
      <c r="B1805" t="s">
        <v>189</v>
      </c>
      <c r="C1805" t="s">
        <v>193</v>
      </c>
      <c r="D1805" s="146" t="s">
        <v>190</v>
      </c>
    </row>
    <row r="1806" spans="1:6" hidden="1" x14ac:dyDescent="0.25">
      <c r="C1806" s="153" t="s">
        <v>194</v>
      </c>
    </row>
    <row r="1807" spans="1:6" hidden="1" x14ac:dyDescent="0.25"/>
    <row r="1808" spans="1:6" s="463" customFormat="1" ht="12.75" hidden="1" x14ac:dyDescent="0.2">
      <c r="D1808" s="592" t="s">
        <v>332</v>
      </c>
      <c r="E1808" s="592"/>
      <c r="F1808" s="486"/>
    </row>
    <row r="1809" spans="1:6" s="463" customFormat="1" ht="12.75" hidden="1" x14ac:dyDescent="0.2">
      <c r="D1809" s="851" t="s">
        <v>333</v>
      </c>
      <c r="E1809" s="851"/>
      <c r="F1809" s="479"/>
    </row>
    <row r="1810" spans="1:6" s="463" customFormat="1" ht="12.75" hidden="1" x14ac:dyDescent="0.2">
      <c r="D1810" s="851" t="s">
        <v>334</v>
      </c>
      <c r="E1810" s="851"/>
      <c r="F1810" s="479"/>
    </row>
    <row r="1811" spans="1:6" s="463" customFormat="1" ht="12.75" hidden="1" x14ac:dyDescent="0.2">
      <c r="D1811" s="593" t="s">
        <v>343</v>
      </c>
      <c r="E1811" s="520"/>
      <c r="F1811" s="480"/>
    </row>
    <row r="1812" spans="1:6" s="463" customFormat="1" ht="11.25" hidden="1" x14ac:dyDescent="0.2"/>
    <row r="1813" spans="1:6" s="463" customFormat="1" ht="12" hidden="1" x14ac:dyDescent="0.2">
      <c r="A1813" s="481"/>
      <c r="B1813" s="465" t="s">
        <v>335</v>
      </c>
      <c r="C1813" s="464"/>
      <c r="D1813" s="465" t="s">
        <v>336</v>
      </c>
      <c r="E1813" s="484"/>
      <c r="F1813" s="484"/>
    </row>
    <row r="1814" spans="1:6" s="463" customFormat="1" ht="12" hidden="1" x14ac:dyDescent="0.2">
      <c r="A1814" s="481"/>
      <c r="B1814" s="464" t="s">
        <v>337</v>
      </c>
      <c r="C1814" s="464"/>
      <c r="D1814" s="465" t="s">
        <v>338</v>
      </c>
      <c r="E1814" s="484"/>
      <c r="F1814" s="484"/>
    </row>
    <row r="1815" spans="1:6" s="463" customFormat="1" ht="12" hidden="1" x14ac:dyDescent="0.2">
      <c r="A1815" s="481"/>
      <c r="B1815" s="465" t="s">
        <v>379</v>
      </c>
      <c r="C1815" s="466"/>
      <c r="D1815" s="465" t="s">
        <v>339</v>
      </c>
      <c r="E1815" s="484"/>
      <c r="F1815" s="484"/>
    </row>
    <row r="1816" spans="1:6" s="463" customFormat="1" ht="12" hidden="1" x14ac:dyDescent="0.2">
      <c r="A1816" s="481"/>
      <c r="B1816" s="465" t="s">
        <v>380</v>
      </c>
      <c r="C1816" s="464"/>
      <c r="D1816" s="465" t="s">
        <v>385</v>
      </c>
      <c r="E1816" s="484"/>
      <c r="F1816" s="484"/>
    </row>
    <row r="1817" spans="1:6" s="463" customFormat="1" ht="12" hidden="1" x14ac:dyDescent="0.2">
      <c r="A1817" s="481"/>
      <c r="B1817" s="465" t="s">
        <v>381</v>
      </c>
      <c r="C1817" s="464"/>
      <c r="D1817" s="465" t="s">
        <v>382</v>
      </c>
      <c r="E1817" s="484"/>
      <c r="F1817" s="484"/>
    </row>
    <row r="1818" spans="1:6" s="463" customFormat="1" ht="12" hidden="1" x14ac:dyDescent="0.2">
      <c r="A1818" s="481"/>
      <c r="B1818" s="465" t="s">
        <v>382</v>
      </c>
      <c r="C1818" s="464"/>
      <c r="D1818" s="465" t="s">
        <v>386</v>
      </c>
      <c r="E1818" s="485"/>
      <c r="F1818" s="485"/>
    </row>
    <row r="1819" spans="1:6" s="463" customFormat="1" ht="12" hidden="1" x14ac:dyDescent="0.2">
      <c r="A1819" s="481"/>
      <c r="B1819" s="465" t="s">
        <v>383</v>
      </c>
      <c r="C1819" s="467"/>
      <c r="D1819" s="465"/>
      <c r="E1819" s="484"/>
      <c r="F1819" s="484"/>
    </row>
    <row r="1820" spans="1:6" s="463" customFormat="1" ht="12" hidden="1" x14ac:dyDescent="0.2">
      <c r="A1820" s="481"/>
      <c r="B1820" s="465" t="s">
        <v>384</v>
      </c>
      <c r="C1820" s="467"/>
      <c r="D1820" s="465"/>
      <c r="E1820" s="484"/>
      <c r="F1820" s="484"/>
    </row>
    <row r="1821" spans="1:6" hidden="1" x14ac:dyDescent="0.25">
      <c r="A1821" s="152"/>
      <c r="B1821" s="132"/>
      <c r="C1821" s="132"/>
      <c r="D1821" s="132"/>
      <c r="E1821" s="519"/>
    </row>
    <row r="1822" spans="1:6" ht="15.75" hidden="1" x14ac:dyDescent="0.25">
      <c r="A1822" s="141" t="s">
        <v>296</v>
      </c>
      <c r="B1822" s="141" t="s">
        <v>341</v>
      </c>
      <c r="C1822" s="2"/>
      <c r="D1822" s="2"/>
    </row>
    <row r="1823" spans="1:6" ht="15.75" hidden="1" x14ac:dyDescent="0.25">
      <c r="A1823" s="141"/>
      <c r="B1823" s="141"/>
      <c r="C1823" s="629" t="s">
        <v>342</v>
      </c>
      <c r="D1823" s="2"/>
    </row>
    <row r="1824" spans="1:6" ht="15.75" hidden="1" x14ac:dyDescent="0.25">
      <c r="A1824" s="141"/>
      <c r="B1824" s="141"/>
      <c r="C1824" s="505" t="s">
        <v>191</v>
      </c>
      <c r="D1824" s="2"/>
    </row>
    <row r="1825" spans="1:5" ht="15.75" hidden="1" x14ac:dyDescent="0.25">
      <c r="A1825" s="141"/>
      <c r="B1825" s="141"/>
      <c r="C1825" s="505"/>
      <c r="D1825" s="2"/>
    </row>
    <row r="1826" spans="1:5" hidden="1" x14ac:dyDescent="0.25">
      <c r="A1826" s="483" t="s">
        <v>6</v>
      </c>
      <c r="B1826" s="2"/>
      <c r="C1826" s="2"/>
      <c r="D1826" s="2"/>
      <c r="E1826" s="522"/>
    </row>
    <row r="1827" spans="1:5" hidden="1" x14ac:dyDescent="0.25">
      <c r="A1827" s="482" t="s">
        <v>340</v>
      </c>
      <c r="B1827" s="1"/>
      <c r="C1827" s="1"/>
      <c r="D1827" s="1"/>
      <c r="E1827" s="463"/>
    </row>
    <row r="1828" spans="1:5" hidden="1" x14ac:dyDescent="0.25">
      <c r="A1828" s="482"/>
      <c r="B1828" s="1"/>
      <c r="C1828" s="1"/>
      <c r="D1828" s="1"/>
      <c r="E1828" s="463"/>
    </row>
    <row r="1829" spans="1:5" hidden="1" x14ac:dyDescent="0.25">
      <c r="A1829" s="132" t="s">
        <v>7</v>
      </c>
      <c r="B1829" s="1"/>
      <c r="C1829" s="1"/>
      <c r="D1829" s="1"/>
      <c r="E1829" s="463"/>
    </row>
    <row r="1830" spans="1:5" hidden="1" x14ac:dyDescent="0.25">
      <c r="A1830" s="852" t="s">
        <v>405</v>
      </c>
      <c r="B1830" s="852"/>
      <c r="C1830" s="852"/>
      <c r="D1830" s="852"/>
      <c r="E1830" s="852"/>
    </row>
    <row r="1831" spans="1:5" hidden="1" x14ac:dyDescent="0.25">
      <c r="A1831" s="469" t="s">
        <v>8</v>
      </c>
      <c r="B1831" s="469" t="s">
        <v>9</v>
      </c>
      <c r="C1831" s="469" t="s">
        <v>10</v>
      </c>
      <c r="D1831" s="469" t="s">
        <v>11</v>
      </c>
      <c r="E1831" s="469" t="s">
        <v>12</v>
      </c>
    </row>
    <row r="1832" spans="1:5" hidden="1" x14ac:dyDescent="0.25">
      <c r="A1832" s="25">
        <v>1</v>
      </c>
      <c r="B1832" s="25">
        <v>2</v>
      </c>
      <c r="C1832" s="25">
        <v>3</v>
      </c>
      <c r="D1832" s="25">
        <v>4</v>
      </c>
      <c r="E1832" s="523">
        <v>5</v>
      </c>
    </row>
    <row r="1833" spans="1:5" hidden="1" x14ac:dyDescent="0.25">
      <c r="A1833" s="487" t="s">
        <v>13</v>
      </c>
      <c r="B1833" s="468" t="s">
        <v>344</v>
      </c>
      <c r="C1833" s="442"/>
      <c r="D1833" s="442"/>
      <c r="E1833" s="580"/>
    </row>
    <row r="1834" spans="1:5" ht="21.75" hidden="1" x14ac:dyDescent="0.25">
      <c r="A1834" s="597" t="s">
        <v>15</v>
      </c>
      <c r="B1834" s="596" t="s">
        <v>347</v>
      </c>
      <c r="C1834" s="508" t="s">
        <v>292</v>
      </c>
      <c r="D1834" s="598" t="s">
        <v>349</v>
      </c>
      <c r="E1834" s="634">
        <f>E1835+E1836</f>
        <v>5.665953209188225</v>
      </c>
    </row>
    <row r="1835" spans="1:5" ht="16.5" hidden="1" x14ac:dyDescent="0.25">
      <c r="A1835" s="599" t="s">
        <v>16</v>
      </c>
      <c r="B1835" s="595" t="s">
        <v>346</v>
      </c>
      <c r="C1835" s="508" t="s">
        <v>292</v>
      </c>
      <c r="D1835" s="600" t="s">
        <v>350</v>
      </c>
      <c r="E1835" s="635">
        <v>1.32</v>
      </c>
    </row>
    <row r="1836" spans="1:5" ht="16.5" hidden="1" x14ac:dyDescent="0.25">
      <c r="A1836" s="853" t="s">
        <v>17</v>
      </c>
      <c r="B1836" s="595" t="s">
        <v>345</v>
      </c>
      <c r="C1836" s="508" t="s">
        <v>292</v>
      </c>
      <c r="D1836" s="631" t="s">
        <v>409</v>
      </c>
      <c r="E1836" s="636">
        <f>0.08+((44951*E1842+226*E1850+106.1*E1846+509*E1854)/(44.84*1000))/10</f>
        <v>4.3459532091882247</v>
      </c>
    </row>
    <row r="1837" spans="1:5" ht="24" hidden="1" x14ac:dyDescent="0.25">
      <c r="A1837" s="853"/>
      <c r="B1837" s="509" t="s">
        <v>345</v>
      </c>
      <c r="C1837" s="640" t="s">
        <v>410</v>
      </c>
      <c r="D1837" s="510" t="s">
        <v>412</v>
      </c>
      <c r="E1837" s="581"/>
    </row>
    <row r="1838" spans="1:5" hidden="1" x14ac:dyDescent="0.25">
      <c r="A1838" s="488" t="s">
        <v>21</v>
      </c>
      <c r="B1838" s="337" t="s">
        <v>351</v>
      </c>
      <c r="C1838" s="31"/>
      <c r="D1838" s="337"/>
      <c r="E1838" s="529"/>
    </row>
    <row r="1839" spans="1:5" hidden="1" x14ac:dyDescent="0.25">
      <c r="A1839" s="47" t="s">
        <v>23</v>
      </c>
      <c r="B1839" s="506" t="s">
        <v>24</v>
      </c>
      <c r="C1839" s="49"/>
      <c r="D1839" s="49"/>
      <c r="E1839" s="530"/>
    </row>
    <row r="1840" spans="1:5" hidden="1" x14ac:dyDescent="0.25">
      <c r="A1840" s="25" t="s">
        <v>25</v>
      </c>
      <c r="B1840" s="24" t="s">
        <v>26</v>
      </c>
      <c r="C1840" s="628" t="s">
        <v>328</v>
      </c>
      <c r="D1840" s="24"/>
      <c r="E1840" s="582">
        <v>26.54</v>
      </c>
    </row>
    <row r="1841" spans="1:5" hidden="1" x14ac:dyDescent="0.25">
      <c r="A1841" s="25" t="s">
        <v>27</v>
      </c>
      <c r="B1841" s="24" t="s">
        <v>28</v>
      </c>
      <c r="C1841" s="616" t="s">
        <v>328</v>
      </c>
      <c r="D1841" s="24"/>
      <c r="E1841" s="583">
        <v>12.56</v>
      </c>
    </row>
    <row r="1842" spans="1:5" hidden="1" x14ac:dyDescent="0.25">
      <c r="A1842" s="25" t="s">
        <v>29</v>
      </c>
      <c r="B1842" s="38" t="s">
        <v>30</v>
      </c>
      <c r="C1842" s="616" t="s">
        <v>328</v>
      </c>
      <c r="D1842" s="24"/>
      <c r="E1842" s="584">
        <f>E1840+E1841</f>
        <v>39.1</v>
      </c>
    </row>
    <row r="1843" spans="1:5" hidden="1" x14ac:dyDescent="0.25">
      <c r="A1843" s="36" t="s">
        <v>31</v>
      </c>
      <c r="B1843" s="41" t="s">
        <v>265</v>
      </c>
      <c r="C1843" s="42"/>
      <c r="D1843" s="42"/>
      <c r="E1843" s="531"/>
    </row>
    <row r="1844" spans="1:5" hidden="1" x14ac:dyDescent="0.25">
      <c r="A1844" s="25" t="s">
        <v>35</v>
      </c>
      <c r="B1844" s="24" t="s">
        <v>26</v>
      </c>
      <c r="C1844" s="617" t="s">
        <v>399</v>
      </c>
      <c r="D1844" s="24"/>
      <c r="E1844" s="532"/>
    </row>
    <row r="1845" spans="1:5" hidden="1" x14ac:dyDescent="0.25">
      <c r="A1845" s="25" t="s">
        <v>36</v>
      </c>
      <c r="B1845" s="24" t="s">
        <v>28</v>
      </c>
      <c r="C1845" s="618" t="s">
        <v>399</v>
      </c>
      <c r="D1845" s="24"/>
      <c r="E1845" s="532"/>
    </row>
    <row r="1846" spans="1:5" hidden="1" x14ac:dyDescent="0.25">
      <c r="A1846" s="25" t="s">
        <v>37</v>
      </c>
      <c r="B1846" s="24" t="s">
        <v>30</v>
      </c>
      <c r="C1846" s="618" t="s">
        <v>399</v>
      </c>
      <c r="D1846" s="24"/>
      <c r="E1846" s="584">
        <v>175.09</v>
      </c>
    </row>
    <row r="1847" spans="1:5" hidden="1" x14ac:dyDescent="0.25">
      <c r="A1847" s="36" t="s">
        <v>34</v>
      </c>
      <c r="B1847" s="41" t="s">
        <v>266</v>
      </c>
      <c r="C1847" s="420"/>
      <c r="D1847" s="42"/>
      <c r="E1847" s="531"/>
    </row>
    <row r="1848" spans="1:5" hidden="1" x14ac:dyDescent="0.25">
      <c r="A1848" s="25" t="s">
        <v>38</v>
      </c>
      <c r="B1848" s="24" t="s">
        <v>26</v>
      </c>
      <c r="C1848" s="618" t="s">
        <v>399</v>
      </c>
      <c r="D1848" s="24"/>
      <c r="E1848" s="532"/>
    </row>
    <row r="1849" spans="1:5" hidden="1" x14ac:dyDescent="0.25">
      <c r="A1849" s="25" t="s">
        <v>39</v>
      </c>
      <c r="B1849" s="24" t="s">
        <v>28</v>
      </c>
      <c r="C1849" s="618" t="s">
        <v>399</v>
      </c>
      <c r="D1849" s="24"/>
      <c r="E1849" s="532"/>
    </row>
    <row r="1850" spans="1:5" hidden="1" x14ac:dyDescent="0.25">
      <c r="A1850" s="25" t="s">
        <v>40</v>
      </c>
      <c r="B1850" s="24" t="s">
        <v>30</v>
      </c>
      <c r="C1850" s="618" t="s">
        <v>399</v>
      </c>
      <c r="D1850" s="24"/>
      <c r="E1850" s="584">
        <v>135.99</v>
      </c>
    </row>
    <row r="1851" spans="1:5" hidden="1" x14ac:dyDescent="0.25">
      <c r="A1851" s="37" t="s">
        <v>352</v>
      </c>
      <c r="B1851" s="45" t="s">
        <v>103</v>
      </c>
      <c r="C1851" s="46"/>
      <c r="D1851" s="46"/>
      <c r="E1851" s="533"/>
    </row>
    <row r="1852" spans="1:5" hidden="1" x14ac:dyDescent="0.25">
      <c r="A1852" s="29" t="s">
        <v>353</v>
      </c>
      <c r="B1852" s="44" t="s">
        <v>26</v>
      </c>
      <c r="C1852" s="618" t="s">
        <v>399</v>
      </c>
      <c r="D1852" s="24"/>
      <c r="E1852" s="532"/>
    </row>
    <row r="1853" spans="1:5" hidden="1" x14ac:dyDescent="0.25">
      <c r="A1853" s="29" t="s">
        <v>354</v>
      </c>
      <c r="B1853" s="24" t="s">
        <v>28</v>
      </c>
      <c r="C1853" s="618" t="s">
        <v>399</v>
      </c>
      <c r="D1853" s="24"/>
      <c r="E1853" s="524"/>
    </row>
    <row r="1854" spans="1:5" hidden="1" x14ac:dyDescent="0.25">
      <c r="A1854" s="489" t="s">
        <v>355</v>
      </c>
      <c r="B1854" s="38" t="s">
        <v>30</v>
      </c>
      <c r="C1854" s="618" t="s">
        <v>399</v>
      </c>
      <c r="D1854" s="24"/>
      <c r="E1854" s="584">
        <v>208.17</v>
      </c>
    </row>
    <row r="1855" spans="1:5" hidden="1" x14ac:dyDescent="0.25">
      <c r="A1855" s="490" t="s">
        <v>42</v>
      </c>
      <c r="B1855" s="471" t="s">
        <v>356</v>
      </c>
      <c r="C1855" s="52"/>
      <c r="D1855" s="52"/>
      <c r="E1855" s="534"/>
    </row>
    <row r="1856" spans="1:5" hidden="1" x14ac:dyDescent="0.25">
      <c r="A1856" s="25" t="s">
        <v>44</v>
      </c>
      <c r="B1856" s="24" t="s">
        <v>357</v>
      </c>
      <c r="C1856" s="24"/>
      <c r="D1856" s="24"/>
      <c r="E1856" s="523" t="s">
        <v>106</v>
      </c>
    </row>
    <row r="1857" spans="1:5" hidden="1" x14ac:dyDescent="0.25">
      <c r="A1857" s="25" t="s">
        <v>45</v>
      </c>
      <c r="B1857" s="24" t="s">
        <v>358</v>
      </c>
      <c r="C1857" s="508" t="s">
        <v>292</v>
      </c>
      <c r="D1857" s="24"/>
      <c r="E1857" s="524">
        <v>0</v>
      </c>
    </row>
    <row r="1858" spans="1:5" ht="22.5" hidden="1" x14ac:dyDescent="0.25">
      <c r="A1858" s="491" t="s">
        <v>46</v>
      </c>
      <c r="B1858" s="503" t="s">
        <v>359</v>
      </c>
      <c r="C1858" s="508" t="s">
        <v>292</v>
      </c>
      <c r="D1858" s="495" t="s">
        <v>387</v>
      </c>
      <c r="E1858" s="637">
        <f>E1859+E1860</f>
        <v>5.665953209188225</v>
      </c>
    </row>
    <row r="1859" spans="1:5" ht="16.5" hidden="1" x14ac:dyDescent="0.25">
      <c r="A1859" s="25" t="s">
        <v>48</v>
      </c>
      <c r="B1859" s="24" t="s">
        <v>49</v>
      </c>
      <c r="C1859" s="508" t="s">
        <v>292</v>
      </c>
      <c r="D1859" s="496" t="s">
        <v>388</v>
      </c>
      <c r="E1859" s="532">
        <f>E1835</f>
        <v>1.32</v>
      </c>
    </row>
    <row r="1860" spans="1:5" ht="16.5" hidden="1" x14ac:dyDescent="0.25">
      <c r="A1860" s="854" t="s">
        <v>50</v>
      </c>
      <c r="B1860" s="472" t="s">
        <v>51</v>
      </c>
      <c r="C1860" s="511" t="s">
        <v>292</v>
      </c>
      <c r="D1860" s="496" t="s">
        <v>389</v>
      </c>
      <c r="E1860" s="536">
        <f>E1836</f>
        <v>4.3459532091882247</v>
      </c>
    </row>
    <row r="1861" spans="1:5" ht="24" hidden="1" x14ac:dyDescent="0.25">
      <c r="A1861" s="855"/>
      <c r="B1861" s="509" t="s">
        <v>51</v>
      </c>
      <c r="C1861" s="512" t="s">
        <v>410</v>
      </c>
      <c r="D1861" s="510" t="s">
        <v>412</v>
      </c>
      <c r="E1861" s="585"/>
    </row>
    <row r="1862" spans="1:5" hidden="1" x14ac:dyDescent="0.25">
      <c r="A1862" s="25" t="s">
        <v>52</v>
      </c>
      <c r="B1862" s="492" t="s">
        <v>360</v>
      </c>
      <c r="C1862" s="33"/>
      <c r="D1862" s="33"/>
      <c r="E1862" s="529"/>
    </row>
    <row r="1863" spans="1:5" ht="18.75" hidden="1" x14ac:dyDescent="0.3">
      <c r="A1863" s="25" t="s">
        <v>54</v>
      </c>
      <c r="B1863" s="24" t="s">
        <v>361</v>
      </c>
      <c r="C1863" s="11" t="s">
        <v>362</v>
      </c>
      <c r="D1863" s="497" t="s">
        <v>390</v>
      </c>
      <c r="E1863" s="524">
        <v>9.66</v>
      </c>
    </row>
    <row r="1864" spans="1:5" ht="16.5" hidden="1" x14ac:dyDescent="0.3">
      <c r="A1864" s="25" t="s">
        <v>57</v>
      </c>
      <c r="B1864" s="24" t="s">
        <v>58</v>
      </c>
      <c r="C1864" s="508" t="s">
        <v>292</v>
      </c>
      <c r="D1864" s="498" t="s">
        <v>389</v>
      </c>
      <c r="E1864" s="532">
        <f>E1860</f>
        <v>4.3459532091882247</v>
      </c>
    </row>
    <row r="1865" spans="1:5" hidden="1" x14ac:dyDescent="0.25">
      <c r="A1865" s="34" t="s">
        <v>60</v>
      </c>
      <c r="B1865" s="504" t="s">
        <v>61</v>
      </c>
      <c r="C1865" s="502"/>
      <c r="D1865" s="502"/>
      <c r="E1865" s="586"/>
    </row>
    <row r="1866" spans="1:5" ht="16.5" hidden="1" x14ac:dyDescent="0.25">
      <c r="A1866" s="602" t="s">
        <v>62</v>
      </c>
      <c r="B1866" s="601" t="s">
        <v>363</v>
      </c>
      <c r="C1866" s="508" t="s">
        <v>292</v>
      </c>
      <c r="D1866" s="600" t="s">
        <v>391</v>
      </c>
      <c r="E1866" s="638">
        <f>E1867+E1868</f>
        <v>1.9209973732585839</v>
      </c>
    </row>
    <row r="1867" spans="1:5" ht="16.5" hidden="1" x14ac:dyDescent="0.25">
      <c r="A1867" s="27" t="s">
        <v>63</v>
      </c>
      <c r="B1867" s="642" t="s">
        <v>64</v>
      </c>
      <c r="C1867" s="508" t="s">
        <v>292</v>
      </c>
      <c r="D1867" s="600" t="s">
        <v>392</v>
      </c>
      <c r="E1867" s="529">
        <v>0.71</v>
      </c>
    </row>
    <row r="1868" spans="1:5" ht="16.5" hidden="1" x14ac:dyDescent="0.25">
      <c r="A1868" s="856" t="s">
        <v>65</v>
      </c>
      <c r="B1868" s="603" t="s">
        <v>66</v>
      </c>
      <c r="C1868" s="508" t="s">
        <v>292</v>
      </c>
      <c r="D1868" s="630" t="s">
        <v>408</v>
      </c>
      <c r="E1868" s="514">
        <f>0.12+(7.24*E1834/37.6)</f>
        <v>1.2109973732585839</v>
      </c>
    </row>
    <row r="1869" spans="1:5" hidden="1" x14ac:dyDescent="0.25">
      <c r="A1869" s="857"/>
      <c r="B1869" s="619" t="s">
        <v>66</v>
      </c>
      <c r="C1869" s="513" t="s">
        <v>348</v>
      </c>
      <c r="D1869" s="641" t="s">
        <v>413</v>
      </c>
      <c r="E1869" s="587"/>
    </row>
    <row r="1870" spans="1:5" hidden="1" x14ac:dyDescent="0.25">
      <c r="A1870" s="470" t="s">
        <v>67</v>
      </c>
      <c r="B1870" s="473" t="s">
        <v>364</v>
      </c>
      <c r="C1870" s="9"/>
      <c r="D1870" s="24"/>
      <c r="E1870" s="524"/>
    </row>
    <row r="1871" spans="1:5" ht="18.75" hidden="1" x14ac:dyDescent="0.3">
      <c r="A1871" s="470" t="s">
        <v>69</v>
      </c>
      <c r="B1871" s="473" t="s">
        <v>361</v>
      </c>
      <c r="C1871" s="515" t="s">
        <v>362</v>
      </c>
      <c r="D1871" s="497" t="s">
        <v>393</v>
      </c>
      <c r="E1871" s="532">
        <v>4.66</v>
      </c>
    </row>
    <row r="1872" spans="1:5" ht="16.5" hidden="1" x14ac:dyDescent="0.3">
      <c r="A1872" s="470" t="s">
        <v>70</v>
      </c>
      <c r="B1872" s="473" t="s">
        <v>365</v>
      </c>
      <c r="C1872" s="508" t="s">
        <v>292</v>
      </c>
      <c r="D1872" s="498" t="s">
        <v>394</v>
      </c>
      <c r="E1872" s="532">
        <f>E1868</f>
        <v>1.2109973732585839</v>
      </c>
    </row>
    <row r="1873" spans="1:5" hidden="1" x14ac:dyDescent="0.25">
      <c r="A1873" s="126" t="s">
        <v>72</v>
      </c>
      <c r="B1873" s="504" t="s">
        <v>366</v>
      </c>
      <c r="C1873" s="516"/>
      <c r="D1873" s="502"/>
      <c r="E1873" s="586"/>
    </row>
    <row r="1874" spans="1:5" ht="16.5" hidden="1" x14ac:dyDescent="0.3">
      <c r="A1874" s="474" t="s">
        <v>79</v>
      </c>
      <c r="B1874" s="473" t="s">
        <v>367</v>
      </c>
      <c r="C1874" s="508" t="s">
        <v>292</v>
      </c>
      <c r="D1874" s="497" t="s">
        <v>370</v>
      </c>
      <c r="E1874" s="639">
        <v>0.09</v>
      </c>
    </row>
    <row r="1875" spans="1:5" ht="18.75" hidden="1" x14ac:dyDescent="0.3">
      <c r="A1875" s="474" t="s">
        <v>368</v>
      </c>
      <c r="B1875" s="626" t="s">
        <v>400</v>
      </c>
      <c r="C1875" s="627" t="s">
        <v>401</v>
      </c>
      <c r="D1875" s="621" t="s">
        <v>403</v>
      </c>
      <c r="E1875" s="462">
        <v>13.42</v>
      </c>
    </row>
    <row r="1876" spans="1:5" ht="18.75" hidden="1" x14ac:dyDescent="0.3">
      <c r="A1876" s="474" t="s">
        <v>369</v>
      </c>
      <c r="B1876" s="626" t="s">
        <v>402</v>
      </c>
      <c r="C1876" s="627" t="s">
        <v>401</v>
      </c>
      <c r="D1876" s="620" t="s">
        <v>404</v>
      </c>
      <c r="E1876" s="462">
        <v>0.68</v>
      </c>
    </row>
    <row r="1877" spans="1:5" ht="33" hidden="1" x14ac:dyDescent="0.25">
      <c r="A1877" s="493" t="s">
        <v>115</v>
      </c>
      <c r="B1877" s="622" t="s">
        <v>371</v>
      </c>
      <c r="C1877" s="623"/>
      <c r="D1877" s="624" t="s">
        <v>406</v>
      </c>
      <c r="E1877" s="623"/>
    </row>
    <row r="1878" spans="1:5" hidden="1" x14ac:dyDescent="0.25">
      <c r="A1878" s="494" t="s">
        <v>80</v>
      </c>
      <c r="B1878" s="477" t="s">
        <v>81</v>
      </c>
      <c r="C1878" s="508" t="s">
        <v>292</v>
      </c>
      <c r="D1878" s="625" t="s">
        <v>407</v>
      </c>
      <c r="E1878" s="639">
        <v>-0.02</v>
      </c>
    </row>
    <row r="1879" spans="1:5" hidden="1" x14ac:dyDescent="0.25">
      <c r="A1879" s="494" t="s">
        <v>82</v>
      </c>
      <c r="B1879" s="477" t="s">
        <v>83</v>
      </c>
      <c r="C1879" s="508" t="s">
        <v>292</v>
      </c>
      <c r="D1879" s="625" t="s">
        <v>407</v>
      </c>
      <c r="E1879" s="639">
        <v>-0.04</v>
      </c>
    </row>
    <row r="1880" spans="1:5" ht="21" hidden="1" x14ac:dyDescent="0.25">
      <c r="A1880" s="605" t="s">
        <v>84</v>
      </c>
      <c r="B1880" s="604" t="s">
        <v>372</v>
      </c>
      <c r="C1880" s="508" t="s">
        <v>292</v>
      </c>
      <c r="D1880" s="462"/>
      <c r="E1880" s="589">
        <f>ROUND(E1858+E1866+E1874+E1878+E1879, 2)</f>
        <v>7.62</v>
      </c>
    </row>
    <row r="1881" spans="1:5" hidden="1" x14ac:dyDescent="0.25">
      <c r="A1881" s="365" t="s">
        <v>85</v>
      </c>
      <c r="B1881" s="518" t="s">
        <v>86</v>
      </c>
      <c r="C1881" s="508" t="s">
        <v>373</v>
      </c>
      <c r="D1881" s="462"/>
      <c r="E1881" s="462">
        <v>0</v>
      </c>
    </row>
    <row r="1882" spans="1:5" hidden="1" x14ac:dyDescent="0.25">
      <c r="A1882" s="862" t="s">
        <v>87</v>
      </c>
      <c r="B1882" s="860" t="s">
        <v>88</v>
      </c>
      <c r="C1882" s="508" t="s">
        <v>292</v>
      </c>
      <c r="D1882" s="499"/>
      <c r="E1882" s="540">
        <f>E1880</f>
        <v>7.62</v>
      </c>
    </row>
    <row r="1883" spans="1:5" hidden="1" x14ac:dyDescent="0.25">
      <c r="A1883" s="863"/>
      <c r="B1883" s="861"/>
      <c r="C1883" s="507" t="s">
        <v>59</v>
      </c>
      <c r="D1883" s="499"/>
      <c r="E1883" s="588">
        <v>26.31</v>
      </c>
    </row>
    <row r="1884" spans="1:5" hidden="1" x14ac:dyDescent="0.25">
      <c r="A1884" s="858" t="s">
        <v>89</v>
      </c>
      <c r="B1884" s="860" t="s">
        <v>90</v>
      </c>
      <c r="C1884" s="508" t="s">
        <v>292</v>
      </c>
      <c r="D1884" s="499"/>
      <c r="E1884" s="538">
        <f>E1882*1.09</f>
        <v>8.3058000000000014</v>
      </c>
    </row>
    <row r="1885" spans="1:5" hidden="1" x14ac:dyDescent="0.25">
      <c r="A1885" s="859"/>
      <c r="B1885" s="861"/>
      <c r="C1885" s="507" t="s">
        <v>59</v>
      </c>
      <c r="D1885" s="499"/>
      <c r="E1885" s="588">
        <v>28.68</v>
      </c>
    </row>
    <row r="1886" spans="1:5" hidden="1" x14ac:dyDescent="0.25">
      <c r="A1886" s="858" t="s">
        <v>91</v>
      </c>
      <c r="B1886" s="860" t="s">
        <v>92</v>
      </c>
      <c r="C1886" s="508" t="s">
        <v>292</v>
      </c>
      <c r="D1886" s="499"/>
      <c r="E1886" s="538">
        <v>7.79</v>
      </c>
    </row>
    <row r="1887" spans="1:5" hidden="1" x14ac:dyDescent="0.25">
      <c r="A1887" s="859"/>
      <c r="B1887" s="861"/>
      <c r="C1887" s="507" t="s">
        <v>59</v>
      </c>
      <c r="D1887" s="499"/>
      <c r="E1887" s="588">
        <v>26.9</v>
      </c>
    </row>
    <row r="1888" spans="1:5" hidden="1" x14ac:dyDescent="0.25">
      <c r="A1888" s="475" t="s">
        <v>93</v>
      </c>
      <c r="B1888" s="476" t="s">
        <v>374</v>
      </c>
      <c r="C1888" s="517" t="s">
        <v>95</v>
      </c>
      <c r="D1888" s="499"/>
      <c r="E1888" s="538">
        <f>(E1880/E1886)*100-100</f>
        <v>-2.1822849807445408</v>
      </c>
    </row>
    <row r="1889" spans="1:6" hidden="1" x14ac:dyDescent="0.25">
      <c r="A1889" s="494" t="s">
        <v>96</v>
      </c>
      <c r="B1889" s="477" t="s">
        <v>97</v>
      </c>
      <c r="C1889" s="130" t="s">
        <v>375</v>
      </c>
      <c r="D1889" s="500"/>
      <c r="E1889" s="632">
        <v>5305.0450000000001</v>
      </c>
    </row>
    <row r="1890" spans="1:6" hidden="1" x14ac:dyDescent="0.25">
      <c r="A1890" s="494" t="s">
        <v>99</v>
      </c>
      <c r="B1890" s="477" t="s">
        <v>376</v>
      </c>
      <c r="C1890" s="130" t="s">
        <v>375</v>
      </c>
      <c r="D1890" s="462"/>
      <c r="E1890" s="632">
        <v>5305.0450000000001</v>
      </c>
    </row>
    <row r="1891" spans="1:6" hidden="1" x14ac:dyDescent="0.25">
      <c r="A1891" s="478" t="s">
        <v>101</v>
      </c>
      <c r="B1891" s="477" t="s">
        <v>377</v>
      </c>
      <c r="C1891" s="130" t="s">
        <v>375</v>
      </c>
      <c r="D1891" s="501"/>
      <c r="E1891" s="633">
        <v>4783.5379999999996</v>
      </c>
    </row>
    <row r="1892" spans="1:6" hidden="1" x14ac:dyDescent="0.25">
      <c r="A1892" s="478">
        <v>14</v>
      </c>
      <c r="B1892" s="477" t="s">
        <v>378</v>
      </c>
      <c r="C1892" s="125" t="s">
        <v>375</v>
      </c>
      <c r="D1892" s="462"/>
      <c r="E1892" s="462">
        <v>0</v>
      </c>
    </row>
    <row r="1893" spans="1:6" hidden="1" x14ac:dyDescent="0.25">
      <c r="B1893" s="643" t="s">
        <v>411</v>
      </c>
    </row>
    <row r="1894" spans="1:6" hidden="1" x14ac:dyDescent="0.25"/>
    <row r="1895" spans="1:6" hidden="1" x14ac:dyDescent="0.25">
      <c r="B1895" t="s">
        <v>189</v>
      </c>
      <c r="C1895" t="s">
        <v>193</v>
      </c>
      <c r="D1895" s="146" t="s">
        <v>190</v>
      </c>
    </row>
    <row r="1896" spans="1:6" hidden="1" x14ac:dyDescent="0.25">
      <c r="C1896" s="153" t="s">
        <v>194</v>
      </c>
    </row>
    <row r="1897" spans="1:6" hidden="1" x14ac:dyDescent="0.25"/>
    <row r="1898" spans="1:6" s="463" customFormat="1" ht="12.75" hidden="1" x14ac:dyDescent="0.2">
      <c r="D1898" s="592" t="s">
        <v>332</v>
      </c>
      <c r="E1898" s="592"/>
      <c r="F1898" s="486"/>
    </row>
    <row r="1899" spans="1:6" s="463" customFormat="1" ht="12.75" hidden="1" x14ac:dyDescent="0.2">
      <c r="D1899" s="851" t="s">
        <v>333</v>
      </c>
      <c r="E1899" s="851"/>
      <c r="F1899" s="479"/>
    </row>
    <row r="1900" spans="1:6" s="463" customFormat="1" ht="12.75" hidden="1" x14ac:dyDescent="0.2">
      <c r="D1900" s="851" t="s">
        <v>334</v>
      </c>
      <c r="E1900" s="851"/>
      <c r="F1900" s="479"/>
    </row>
    <row r="1901" spans="1:6" s="463" customFormat="1" ht="12.75" hidden="1" x14ac:dyDescent="0.2">
      <c r="D1901" s="612" t="s">
        <v>343</v>
      </c>
      <c r="E1901" s="520"/>
      <c r="F1901" s="480"/>
    </row>
    <row r="1902" spans="1:6" s="463" customFormat="1" ht="11.25" hidden="1" x14ac:dyDescent="0.2"/>
    <row r="1903" spans="1:6" s="463" customFormat="1" ht="12" hidden="1" x14ac:dyDescent="0.2">
      <c r="A1903" s="481"/>
      <c r="B1903" s="465" t="s">
        <v>335</v>
      </c>
      <c r="C1903" s="464"/>
      <c r="D1903" s="465" t="s">
        <v>336</v>
      </c>
      <c r="E1903" s="484"/>
      <c r="F1903" s="484"/>
    </row>
    <row r="1904" spans="1:6" s="463" customFormat="1" ht="12" hidden="1" x14ac:dyDescent="0.2">
      <c r="A1904" s="481"/>
      <c r="B1904" s="464" t="s">
        <v>337</v>
      </c>
      <c r="C1904" s="464"/>
      <c r="D1904" s="465" t="s">
        <v>338</v>
      </c>
      <c r="E1904" s="484"/>
      <c r="F1904" s="484"/>
    </row>
    <row r="1905" spans="1:6" s="463" customFormat="1" ht="12" hidden="1" x14ac:dyDescent="0.2">
      <c r="A1905" s="481"/>
      <c r="B1905" s="465" t="s">
        <v>379</v>
      </c>
      <c r="C1905" s="466"/>
      <c r="D1905" s="465" t="s">
        <v>339</v>
      </c>
      <c r="E1905" s="484"/>
      <c r="F1905" s="484"/>
    </row>
    <row r="1906" spans="1:6" s="463" customFormat="1" ht="12" hidden="1" x14ac:dyDescent="0.2">
      <c r="A1906" s="481"/>
      <c r="B1906" s="465" t="s">
        <v>380</v>
      </c>
      <c r="C1906" s="464"/>
      <c r="D1906" s="465" t="s">
        <v>385</v>
      </c>
      <c r="E1906" s="484"/>
      <c r="F1906" s="484"/>
    </row>
    <row r="1907" spans="1:6" s="463" customFormat="1" ht="12" hidden="1" x14ac:dyDescent="0.2">
      <c r="A1907" s="481"/>
      <c r="B1907" s="465" t="s">
        <v>381</v>
      </c>
      <c r="C1907" s="464"/>
      <c r="D1907" s="465" t="s">
        <v>382</v>
      </c>
      <c r="E1907" s="484"/>
      <c r="F1907" s="484"/>
    </row>
    <row r="1908" spans="1:6" s="463" customFormat="1" ht="12" hidden="1" x14ac:dyDescent="0.2">
      <c r="A1908" s="481"/>
      <c r="B1908" s="465" t="s">
        <v>382</v>
      </c>
      <c r="C1908" s="464"/>
      <c r="D1908" s="465" t="s">
        <v>386</v>
      </c>
      <c r="E1908" s="485"/>
      <c r="F1908" s="485"/>
    </row>
    <row r="1909" spans="1:6" s="463" customFormat="1" ht="12" hidden="1" x14ac:dyDescent="0.2">
      <c r="A1909" s="481"/>
      <c r="B1909" s="465" t="s">
        <v>383</v>
      </c>
      <c r="C1909" s="467"/>
      <c r="D1909" s="465"/>
      <c r="E1909" s="484"/>
      <c r="F1909" s="484"/>
    </row>
    <row r="1910" spans="1:6" s="463" customFormat="1" ht="12" hidden="1" x14ac:dyDescent="0.2">
      <c r="A1910" s="481"/>
      <c r="B1910" s="465" t="s">
        <v>384</v>
      </c>
      <c r="C1910" s="467"/>
      <c r="D1910" s="465"/>
      <c r="E1910" s="484"/>
      <c r="F1910" s="484"/>
    </row>
    <row r="1911" spans="1:6" hidden="1" x14ac:dyDescent="0.25">
      <c r="A1911" s="152"/>
      <c r="B1911" s="132"/>
      <c r="C1911" s="132"/>
      <c r="D1911" s="132"/>
      <c r="E1911" s="519"/>
    </row>
    <row r="1912" spans="1:6" ht="15.75" hidden="1" x14ac:dyDescent="0.25">
      <c r="A1912" s="141" t="s">
        <v>296</v>
      </c>
      <c r="B1912" s="141" t="s">
        <v>417</v>
      </c>
      <c r="C1912" s="2"/>
      <c r="D1912" s="2"/>
    </row>
    <row r="1913" spans="1:6" ht="15.75" hidden="1" x14ac:dyDescent="0.25">
      <c r="A1913" s="141"/>
      <c r="B1913" s="141"/>
      <c r="C1913" s="629" t="s">
        <v>418</v>
      </c>
      <c r="D1913" s="2"/>
    </row>
    <row r="1914" spans="1:6" ht="15.75" hidden="1" x14ac:dyDescent="0.25">
      <c r="A1914" s="141"/>
      <c r="B1914" s="141"/>
      <c r="C1914" s="505" t="s">
        <v>191</v>
      </c>
      <c r="D1914" s="2"/>
    </row>
    <row r="1915" spans="1:6" ht="15.75" hidden="1" x14ac:dyDescent="0.25">
      <c r="A1915" s="141"/>
      <c r="B1915" s="141"/>
      <c r="C1915" s="505"/>
      <c r="D1915" s="2"/>
    </row>
    <row r="1916" spans="1:6" hidden="1" x14ac:dyDescent="0.25">
      <c r="A1916" s="483" t="s">
        <v>6</v>
      </c>
      <c r="B1916" s="2"/>
      <c r="C1916" s="2"/>
      <c r="D1916" s="2"/>
      <c r="E1916" s="522"/>
    </row>
    <row r="1917" spans="1:6" hidden="1" x14ac:dyDescent="0.25">
      <c r="A1917" s="482" t="s">
        <v>340</v>
      </c>
      <c r="B1917" s="1"/>
      <c r="C1917" s="1"/>
      <c r="D1917" s="1"/>
      <c r="E1917" s="463"/>
    </row>
    <row r="1918" spans="1:6" hidden="1" x14ac:dyDescent="0.25">
      <c r="A1918" s="482"/>
      <c r="B1918" s="1"/>
      <c r="C1918" s="1"/>
      <c r="D1918" s="1"/>
      <c r="E1918" s="463"/>
    </row>
    <row r="1919" spans="1:6" hidden="1" x14ac:dyDescent="0.25">
      <c r="A1919" s="132" t="s">
        <v>7</v>
      </c>
      <c r="B1919" s="1"/>
      <c r="C1919" s="1"/>
      <c r="D1919" s="1"/>
      <c r="E1919" s="463"/>
    </row>
    <row r="1920" spans="1:6" hidden="1" x14ac:dyDescent="0.25">
      <c r="A1920" s="852" t="s">
        <v>405</v>
      </c>
      <c r="B1920" s="852"/>
      <c r="C1920" s="852"/>
      <c r="D1920" s="852"/>
      <c r="E1920" s="852"/>
    </row>
    <row r="1921" spans="1:5" hidden="1" x14ac:dyDescent="0.25">
      <c r="A1921" s="469" t="s">
        <v>8</v>
      </c>
      <c r="B1921" s="469" t="s">
        <v>9</v>
      </c>
      <c r="C1921" s="469" t="s">
        <v>10</v>
      </c>
      <c r="D1921" s="469" t="s">
        <v>11</v>
      </c>
      <c r="E1921" s="469" t="s">
        <v>12</v>
      </c>
    </row>
    <row r="1922" spans="1:5" hidden="1" x14ac:dyDescent="0.25">
      <c r="A1922" s="25">
        <v>1</v>
      </c>
      <c r="B1922" s="25">
        <v>2</v>
      </c>
      <c r="C1922" s="25">
        <v>3</v>
      </c>
      <c r="D1922" s="25">
        <v>4</v>
      </c>
      <c r="E1922" s="523">
        <v>5</v>
      </c>
    </row>
    <row r="1923" spans="1:5" hidden="1" x14ac:dyDescent="0.25">
      <c r="A1923" s="487" t="s">
        <v>13</v>
      </c>
      <c r="B1923" s="468" t="s">
        <v>344</v>
      </c>
      <c r="C1923" s="442"/>
      <c r="D1923" s="442"/>
      <c r="E1923" s="580"/>
    </row>
    <row r="1924" spans="1:5" ht="21.75" hidden="1" x14ac:dyDescent="0.25">
      <c r="A1924" s="597" t="s">
        <v>15</v>
      </c>
      <c r="B1924" s="596" t="s">
        <v>347</v>
      </c>
      <c r="C1924" s="508" t="s">
        <v>292</v>
      </c>
      <c r="D1924" s="598" t="s">
        <v>349</v>
      </c>
      <c r="E1924" s="634">
        <f>E1925+E1926</f>
        <v>5.9598511730597679</v>
      </c>
    </row>
    <row r="1925" spans="1:5" ht="16.5" hidden="1" x14ac:dyDescent="0.25">
      <c r="A1925" s="610" t="s">
        <v>16</v>
      </c>
      <c r="B1925" s="611" t="s">
        <v>346</v>
      </c>
      <c r="C1925" s="508" t="s">
        <v>292</v>
      </c>
      <c r="D1925" s="600" t="s">
        <v>350</v>
      </c>
      <c r="E1925" s="635">
        <v>1.32</v>
      </c>
    </row>
    <row r="1926" spans="1:5" ht="16.5" hidden="1" x14ac:dyDescent="0.25">
      <c r="A1926" s="853" t="s">
        <v>17</v>
      </c>
      <c r="B1926" s="611" t="s">
        <v>345</v>
      </c>
      <c r="C1926" s="508" t="s">
        <v>292</v>
      </c>
      <c r="D1926" s="631" t="s">
        <v>409</v>
      </c>
      <c r="E1926" s="636">
        <f>0.08+((44951*E1932+226*E1940+106.1*E1936+509*E1944)/(44.84*1000))/10</f>
        <v>4.6398511730597676</v>
      </c>
    </row>
    <row r="1927" spans="1:5" ht="24" hidden="1" x14ac:dyDescent="0.25">
      <c r="A1927" s="853"/>
      <c r="B1927" s="509" t="s">
        <v>345</v>
      </c>
      <c r="C1927" s="640" t="s">
        <v>410</v>
      </c>
      <c r="D1927" s="510" t="s">
        <v>412</v>
      </c>
      <c r="E1927" s="581"/>
    </row>
    <row r="1928" spans="1:5" hidden="1" x14ac:dyDescent="0.25">
      <c r="A1928" s="488" t="s">
        <v>21</v>
      </c>
      <c r="B1928" s="337" t="s">
        <v>351</v>
      </c>
      <c r="C1928" s="31"/>
      <c r="D1928" s="337"/>
      <c r="E1928" s="529"/>
    </row>
    <row r="1929" spans="1:5" hidden="1" x14ac:dyDescent="0.25">
      <c r="A1929" s="47" t="s">
        <v>23</v>
      </c>
      <c r="B1929" s="506" t="s">
        <v>24</v>
      </c>
      <c r="C1929" s="49"/>
      <c r="D1929" s="49"/>
      <c r="E1929" s="530"/>
    </row>
    <row r="1930" spans="1:5" hidden="1" x14ac:dyDescent="0.25">
      <c r="A1930" s="25" t="s">
        <v>25</v>
      </c>
      <c r="B1930" s="24" t="s">
        <v>26</v>
      </c>
      <c r="C1930" s="628" t="s">
        <v>328</v>
      </c>
      <c r="D1930" s="24"/>
      <c r="E1930" s="582">
        <v>30</v>
      </c>
    </row>
    <row r="1931" spans="1:5" hidden="1" x14ac:dyDescent="0.25">
      <c r="A1931" s="25" t="s">
        <v>27</v>
      </c>
      <c r="B1931" s="24" t="s">
        <v>28</v>
      </c>
      <c r="C1931" s="616" t="s">
        <v>328</v>
      </c>
      <c r="D1931" s="24"/>
      <c r="E1931" s="583">
        <v>12.56</v>
      </c>
    </row>
    <row r="1932" spans="1:5" hidden="1" x14ac:dyDescent="0.25">
      <c r="A1932" s="25" t="s">
        <v>29</v>
      </c>
      <c r="B1932" s="38" t="s">
        <v>30</v>
      </c>
      <c r="C1932" s="616" t="s">
        <v>328</v>
      </c>
      <c r="D1932" s="24"/>
      <c r="E1932" s="584">
        <f>E1930+E1931</f>
        <v>42.56</v>
      </c>
    </row>
    <row r="1933" spans="1:5" hidden="1" x14ac:dyDescent="0.25">
      <c r="A1933" s="36" t="s">
        <v>31</v>
      </c>
      <c r="B1933" s="41" t="s">
        <v>265</v>
      </c>
      <c r="C1933" s="42"/>
      <c r="D1933" s="42"/>
      <c r="E1933" s="531"/>
    </row>
    <row r="1934" spans="1:5" hidden="1" x14ac:dyDescent="0.25">
      <c r="A1934" s="25" t="s">
        <v>35</v>
      </c>
      <c r="B1934" s="24" t="s">
        <v>26</v>
      </c>
      <c r="C1934" s="617" t="s">
        <v>399</v>
      </c>
      <c r="D1934" s="24"/>
      <c r="E1934" s="532"/>
    </row>
    <row r="1935" spans="1:5" hidden="1" x14ac:dyDescent="0.25">
      <c r="A1935" s="25" t="s">
        <v>36</v>
      </c>
      <c r="B1935" s="24" t="s">
        <v>28</v>
      </c>
      <c r="C1935" s="618" t="s">
        <v>399</v>
      </c>
      <c r="D1935" s="24"/>
      <c r="E1935" s="532"/>
    </row>
    <row r="1936" spans="1:5" hidden="1" x14ac:dyDescent="0.25">
      <c r="A1936" s="25" t="s">
        <v>37</v>
      </c>
      <c r="B1936" s="24" t="s">
        <v>30</v>
      </c>
      <c r="C1936" s="618" t="s">
        <v>399</v>
      </c>
      <c r="D1936" s="24"/>
      <c r="E1936" s="584">
        <v>171.06</v>
      </c>
    </row>
    <row r="1937" spans="1:5" hidden="1" x14ac:dyDescent="0.25">
      <c r="A1937" s="36" t="s">
        <v>34</v>
      </c>
      <c r="B1937" s="41" t="s">
        <v>266</v>
      </c>
      <c r="C1937" s="420"/>
      <c r="D1937" s="42"/>
      <c r="E1937" s="531"/>
    </row>
    <row r="1938" spans="1:5" hidden="1" x14ac:dyDescent="0.25">
      <c r="A1938" s="25" t="s">
        <v>38</v>
      </c>
      <c r="B1938" s="24" t="s">
        <v>26</v>
      </c>
      <c r="C1938" s="618" t="s">
        <v>399</v>
      </c>
      <c r="D1938" s="24"/>
      <c r="E1938" s="532"/>
    </row>
    <row r="1939" spans="1:5" hidden="1" x14ac:dyDescent="0.25">
      <c r="A1939" s="25" t="s">
        <v>39</v>
      </c>
      <c r="B1939" s="24" t="s">
        <v>28</v>
      </c>
      <c r="C1939" s="618" t="s">
        <v>399</v>
      </c>
      <c r="D1939" s="24"/>
      <c r="E1939" s="532"/>
    </row>
    <row r="1940" spans="1:5" hidden="1" x14ac:dyDescent="0.25">
      <c r="A1940" s="25" t="s">
        <v>40</v>
      </c>
      <c r="B1940" s="24" t="s">
        <v>30</v>
      </c>
      <c r="C1940" s="618" t="s">
        <v>399</v>
      </c>
      <c r="D1940" s="24"/>
      <c r="E1940" s="584">
        <v>128.55000000000001</v>
      </c>
    </row>
    <row r="1941" spans="1:5" hidden="1" x14ac:dyDescent="0.25">
      <c r="A1941" s="37" t="s">
        <v>352</v>
      </c>
      <c r="B1941" s="45" t="s">
        <v>103</v>
      </c>
      <c r="C1941" s="46"/>
      <c r="D1941" s="46"/>
      <c r="E1941" s="533"/>
    </row>
    <row r="1942" spans="1:5" hidden="1" x14ac:dyDescent="0.25">
      <c r="A1942" s="29" t="s">
        <v>353</v>
      </c>
      <c r="B1942" s="44" t="s">
        <v>26</v>
      </c>
      <c r="C1942" s="618" t="s">
        <v>399</v>
      </c>
      <c r="D1942" s="24"/>
      <c r="E1942" s="532">
        <v>151.41</v>
      </c>
    </row>
    <row r="1943" spans="1:5" hidden="1" x14ac:dyDescent="0.25">
      <c r="A1943" s="29" t="s">
        <v>354</v>
      </c>
      <c r="B1943" s="24" t="s">
        <v>28</v>
      </c>
      <c r="C1943" s="618" t="s">
        <v>399</v>
      </c>
      <c r="D1943" s="24"/>
      <c r="E1943" s="524">
        <v>14.25</v>
      </c>
    </row>
    <row r="1944" spans="1:5" hidden="1" x14ac:dyDescent="0.25">
      <c r="A1944" s="489" t="s">
        <v>355</v>
      </c>
      <c r="B1944" s="38" t="s">
        <v>30</v>
      </c>
      <c r="C1944" s="618" t="s">
        <v>399</v>
      </c>
      <c r="D1944" s="24"/>
      <c r="E1944" s="584">
        <f>+E1942+E1943</f>
        <v>165.66</v>
      </c>
    </row>
    <row r="1945" spans="1:5" hidden="1" x14ac:dyDescent="0.25">
      <c r="A1945" s="490" t="s">
        <v>42</v>
      </c>
      <c r="B1945" s="471" t="s">
        <v>356</v>
      </c>
      <c r="C1945" s="52"/>
      <c r="D1945" s="52"/>
      <c r="E1945" s="534"/>
    </row>
    <row r="1946" spans="1:5" hidden="1" x14ac:dyDescent="0.25">
      <c r="A1946" s="25" t="s">
        <v>44</v>
      </c>
      <c r="B1946" s="24" t="s">
        <v>357</v>
      </c>
      <c r="C1946" s="24"/>
      <c r="D1946" s="24"/>
      <c r="E1946" s="523" t="s">
        <v>106</v>
      </c>
    </row>
    <row r="1947" spans="1:5" hidden="1" x14ac:dyDescent="0.25">
      <c r="A1947" s="25" t="s">
        <v>45</v>
      </c>
      <c r="B1947" s="24" t="s">
        <v>358</v>
      </c>
      <c r="C1947" s="508" t="s">
        <v>292</v>
      </c>
      <c r="D1947" s="24"/>
      <c r="E1947" s="524">
        <v>0</v>
      </c>
    </row>
    <row r="1948" spans="1:5" ht="22.5" hidden="1" x14ac:dyDescent="0.25">
      <c r="A1948" s="491" t="s">
        <v>46</v>
      </c>
      <c r="B1948" s="503" t="s">
        <v>359</v>
      </c>
      <c r="C1948" s="508" t="s">
        <v>292</v>
      </c>
      <c r="D1948" s="495" t="s">
        <v>387</v>
      </c>
      <c r="E1948" s="637">
        <f>E1949+E1950</f>
        <v>5.9598511730597679</v>
      </c>
    </row>
    <row r="1949" spans="1:5" ht="16.5" hidden="1" x14ac:dyDescent="0.25">
      <c r="A1949" s="25" t="s">
        <v>48</v>
      </c>
      <c r="B1949" s="24" t="s">
        <v>49</v>
      </c>
      <c r="C1949" s="508" t="s">
        <v>292</v>
      </c>
      <c r="D1949" s="600" t="s">
        <v>388</v>
      </c>
      <c r="E1949" s="532">
        <f>E1925</f>
        <v>1.32</v>
      </c>
    </row>
    <row r="1950" spans="1:5" ht="16.5" hidden="1" x14ac:dyDescent="0.25">
      <c r="A1950" s="854" t="s">
        <v>50</v>
      </c>
      <c r="B1950" s="472" t="s">
        <v>51</v>
      </c>
      <c r="C1950" s="511" t="s">
        <v>292</v>
      </c>
      <c r="D1950" s="600" t="s">
        <v>389</v>
      </c>
      <c r="E1950" s="536">
        <f>E1926</f>
        <v>4.6398511730597676</v>
      </c>
    </row>
    <row r="1951" spans="1:5" ht="24" hidden="1" x14ac:dyDescent="0.25">
      <c r="A1951" s="855"/>
      <c r="B1951" s="509" t="s">
        <v>51</v>
      </c>
      <c r="C1951" s="512" t="s">
        <v>410</v>
      </c>
      <c r="D1951" s="510" t="s">
        <v>412</v>
      </c>
      <c r="E1951" s="585"/>
    </row>
    <row r="1952" spans="1:5" hidden="1" x14ac:dyDescent="0.25">
      <c r="A1952" s="25" t="s">
        <v>52</v>
      </c>
      <c r="B1952" s="492" t="s">
        <v>360</v>
      </c>
      <c r="C1952" s="33"/>
      <c r="D1952" s="33"/>
      <c r="E1952" s="529"/>
    </row>
    <row r="1953" spans="1:5" ht="18.75" hidden="1" x14ac:dyDescent="0.3">
      <c r="A1953" s="25" t="s">
        <v>54</v>
      </c>
      <c r="B1953" s="24" t="s">
        <v>361</v>
      </c>
      <c r="C1953" s="11" t="s">
        <v>362</v>
      </c>
      <c r="D1953" s="497" t="s">
        <v>390</v>
      </c>
      <c r="E1953" s="524">
        <v>9.66</v>
      </c>
    </row>
    <row r="1954" spans="1:5" ht="16.5" hidden="1" x14ac:dyDescent="0.3">
      <c r="A1954" s="25" t="s">
        <v>57</v>
      </c>
      <c r="B1954" s="24" t="s">
        <v>58</v>
      </c>
      <c r="C1954" s="508" t="s">
        <v>292</v>
      </c>
      <c r="D1954" s="498" t="s">
        <v>389</v>
      </c>
      <c r="E1954" s="532">
        <f>E1950</f>
        <v>4.6398511730597676</v>
      </c>
    </row>
    <row r="1955" spans="1:5" hidden="1" x14ac:dyDescent="0.25">
      <c r="A1955" s="34" t="s">
        <v>60</v>
      </c>
      <c r="B1955" s="504" t="s">
        <v>61</v>
      </c>
      <c r="C1955" s="502"/>
      <c r="D1955" s="502"/>
      <c r="E1955" s="586"/>
    </row>
    <row r="1956" spans="1:5" ht="16.5" hidden="1" x14ac:dyDescent="0.25">
      <c r="A1956" s="602" t="s">
        <v>62</v>
      </c>
      <c r="B1956" s="601" t="s">
        <v>363</v>
      </c>
      <c r="C1956" s="508" t="s">
        <v>292</v>
      </c>
      <c r="D1956" s="600" t="s">
        <v>391</v>
      </c>
      <c r="E1956" s="638">
        <f>E1957+E1958</f>
        <v>1.9775883641742742</v>
      </c>
    </row>
    <row r="1957" spans="1:5" ht="16.5" hidden="1" x14ac:dyDescent="0.25">
      <c r="A1957" s="27" t="s">
        <v>63</v>
      </c>
      <c r="B1957" s="642" t="s">
        <v>64</v>
      </c>
      <c r="C1957" s="508" t="s">
        <v>292</v>
      </c>
      <c r="D1957" s="600" t="s">
        <v>392</v>
      </c>
      <c r="E1957" s="529">
        <v>0.71</v>
      </c>
    </row>
    <row r="1958" spans="1:5" ht="16.5" hidden="1" x14ac:dyDescent="0.25">
      <c r="A1958" s="856" t="s">
        <v>65</v>
      </c>
      <c r="B1958" s="603" t="s">
        <v>66</v>
      </c>
      <c r="C1958" s="508" t="s">
        <v>292</v>
      </c>
      <c r="D1958" s="630" t="s">
        <v>408</v>
      </c>
      <c r="E1958" s="514">
        <f>0.12+(7.24*E1924/37.6)</f>
        <v>1.2675883641742742</v>
      </c>
    </row>
    <row r="1959" spans="1:5" hidden="1" x14ac:dyDescent="0.25">
      <c r="A1959" s="857"/>
      <c r="B1959" s="619" t="s">
        <v>66</v>
      </c>
      <c r="C1959" s="513" t="s">
        <v>348</v>
      </c>
      <c r="D1959" s="641" t="s">
        <v>413</v>
      </c>
      <c r="E1959" s="587"/>
    </row>
    <row r="1960" spans="1:5" hidden="1" x14ac:dyDescent="0.25">
      <c r="A1960" s="470" t="s">
        <v>67</v>
      </c>
      <c r="B1960" s="473" t="s">
        <v>364</v>
      </c>
      <c r="C1960" s="9"/>
      <c r="D1960" s="24"/>
      <c r="E1960" s="524"/>
    </row>
    <row r="1961" spans="1:5" ht="18.75" hidden="1" x14ac:dyDescent="0.3">
      <c r="A1961" s="470" t="s">
        <v>69</v>
      </c>
      <c r="B1961" s="473" t="s">
        <v>361</v>
      </c>
      <c r="C1961" s="515" t="s">
        <v>362</v>
      </c>
      <c r="D1961" s="497" t="s">
        <v>393</v>
      </c>
      <c r="E1961" s="532">
        <v>4.66</v>
      </c>
    </row>
    <row r="1962" spans="1:5" ht="16.5" hidden="1" x14ac:dyDescent="0.3">
      <c r="A1962" s="470" t="s">
        <v>70</v>
      </c>
      <c r="B1962" s="473" t="s">
        <v>365</v>
      </c>
      <c r="C1962" s="508" t="s">
        <v>292</v>
      </c>
      <c r="D1962" s="498" t="s">
        <v>394</v>
      </c>
      <c r="E1962" s="532">
        <f>E1958</f>
        <v>1.2675883641742742</v>
      </c>
    </row>
    <row r="1963" spans="1:5" hidden="1" x14ac:dyDescent="0.25">
      <c r="A1963" s="126" t="s">
        <v>72</v>
      </c>
      <c r="B1963" s="504" t="s">
        <v>366</v>
      </c>
      <c r="C1963" s="516"/>
      <c r="D1963" s="502"/>
      <c r="E1963" s="586"/>
    </row>
    <row r="1964" spans="1:5" ht="16.5" hidden="1" x14ac:dyDescent="0.3">
      <c r="A1964" s="474" t="s">
        <v>79</v>
      </c>
      <c r="B1964" s="473" t="s">
        <v>367</v>
      </c>
      <c r="C1964" s="508" t="s">
        <v>292</v>
      </c>
      <c r="D1964" s="497" t="s">
        <v>370</v>
      </c>
      <c r="E1964" s="639">
        <v>0.09</v>
      </c>
    </row>
    <row r="1965" spans="1:5" ht="18.75" hidden="1" x14ac:dyDescent="0.3">
      <c r="A1965" s="474" t="s">
        <v>368</v>
      </c>
      <c r="B1965" s="626" t="s">
        <v>400</v>
      </c>
      <c r="C1965" s="627" t="s">
        <v>401</v>
      </c>
      <c r="D1965" s="621" t="s">
        <v>403</v>
      </c>
      <c r="E1965" s="462">
        <v>13.42</v>
      </c>
    </row>
    <row r="1966" spans="1:5" ht="18.75" hidden="1" x14ac:dyDescent="0.3">
      <c r="A1966" s="474" t="s">
        <v>369</v>
      </c>
      <c r="B1966" s="626" t="s">
        <v>402</v>
      </c>
      <c r="C1966" s="627" t="s">
        <v>401</v>
      </c>
      <c r="D1966" s="620" t="s">
        <v>404</v>
      </c>
      <c r="E1966" s="462">
        <v>0.68</v>
      </c>
    </row>
    <row r="1967" spans="1:5" ht="33" hidden="1" x14ac:dyDescent="0.25">
      <c r="A1967" s="493" t="s">
        <v>115</v>
      </c>
      <c r="B1967" s="622" t="s">
        <v>371</v>
      </c>
      <c r="C1967" s="623"/>
      <c r="D1967" s="624"/>
      <c r="E1967" s="623"/>
    </row>
    <row r="1968" spans="1:5" hidden="1" x14ac:dyDescent="0.25">
      <c r="A1968" s="494" t="s">
        <v>80</v>
      </c>
      <c r="B1968" s="477" t="s">
        <v>81</v>
      </c>
      <c r="C1968" s="508" t="s">
        <v>292</v>
      </c>
      <c r="D1968" s="625"/>
      <c r="E1968" s="639"/>
    </row>
    <row r="1969" spans="1:5" hidden="1" x14ac:dyDescent="0.25">
      <c r="A1969" s="494" t="s">
        <v>82</v>
      </c>
      <c r="B1969" s="477" t="s">
        <v>83</v>
      </c>
      <c r="C1969" s="508" t="s">
        <v>292</v>
      </c>
      <c r="D1969" s="625"/>
      <c r="E1969" s="639"/>
    </row>
    <row r="1970" spans="1:5" ht="21" hidden="1" x14ac:dyDescent="0.25">
      <c r="A1970" s="605" t="s">
        <v>84</v>
      </c>
      <c r="B1970" s="604" t="s">
        <v>372</v>
      </c>
      <c r="C1970" s="508" t="s">
        <v>292</v>
      </c>
      <c r="D1970" s="462"/>
      <c r="E1970" s="589">
        <f>ROUND(E1948+E1956+E1964+E1968+E1969, 2)</f>
        <v>8.0299999999999994</v>
      </c>
    </row>
    <row r="1971" spans="1:5" hidden="1" x14ac:dyDescent="0.25">
      <c r="A1971" s="365" t="s">
        <v>85</v>
      </c>
      <c r="B1971" s="518" t="s">
        <v>86</v>
      </c>
      <c r="C1971" s="508" t="s">
        <v>373</v>
      </c>
      <c r="D1971" s="462"/>
      <c r="E1971" s="462">
        <v>0</v>
      </c>
    </row>
    <row r="1972" spans="1:5" hidden="1" x14ac:dyDescent="0.25">
      <c r="A1972" s="862" t="s">
        <v>87</v>
      </c>
      <c r="B1972" s="860" t="s">
        <v>88</v>
      </c>
      <c r="C1972" s="508" t="s">
        <v>292</v>
      </c>
      <c r="D1972" s="499"/>
      <c r="E1972" s="540">
        <f>E1970</f>
        <v>8.0299999999999994</v>
      </c>
    </row>
    <row r="1973" spans="1:5" hidden="1" x14ac:dyDescent="0.25">
      <c r="A1973" s="863"/>
      <c r="B1973" s="861"/>
      <c r="C1973" s="507" t="s">
        <v>59</v>
      </c>
      <c r="D1973" s="499"/>
      <c r="E1973" s="588">
        <v>27.72</v>
      </c>
    </row>
    <row r="1974" spans="1:5" hidden="1" x14ac:dyDescent="0.25">
      <c r="A1974" s="858" t="s">
        <v>89</v>
      </c>
      <c r="B1974" s="860" t="s">
        <v>90</v>
      </c>
      <c r="C1974" s="508" t="s">
        <v>292</v>
      </c>
      <c r="D1974" s="499"/>
      <c r="E1974" s="538">
        <f>E1972*1.09</f>
        <v>8.7527000000000008</v>
      </c>
    </row>
    <row r="1975" spans="1:5" hidden="1" x14ac:dyDescent="0.25">
      <c r="A1975" s="859"/>
      <c r="B1975" s="861"/>
      <c r="C1975" s="507" t="s">
        <v>59</v>
      </c>
      <c r="D1975" s="499"/>
      <c r="E1975" s="588">
        <v>30.21</v>
      </c>
    </row>
    <row r="1976" spans="1:5" hidden="1" x14ac:dyDescent="0.25">
      <c r="A1976" s="858" t="s">
        <v>91</v>
      </c>
      <c r="B1976" s="860" t="s">
        <v>92</v>
      </c>
      <c r="C1976" s="508" t="s">
        <v>292</v>
      </c>
      <c r="D1976" s="499"/>
      <c r="E1976" s="538">
        <v>7.62</v>
      </c>
    </row>
    <row r="1977" spans="1:5" hidden="1" x14ac:dyDescent="0.25">
      <c r="A1977" s="859"/>
      <c r="B1977" s="861"/>
      <c r="C1977" s="507" t="s">
        <v>59</v>
      </c>
      <c r="D1977" s="499"/>
      <c r="E1977" s="588">
        <v>26.31</v>
      </c>
    </row>
    <row r="1978" spans="1:5" hidden="1" x14ac:dyDescent="0.25">
      <c r="A1978" s="475" t="s">
        <v>93</v>
      </c>
      <c r="B1978" s="476" t="s">
        <v>374</v>
      </c>
      <c r="C1978" s="517" t="s">
        <v>95</v>
      </c>
      <c r="D1978" s="499"/>
      <c r="E1978" s="538">
        <f>(E1970/E1976)*100-100</f>
        <v>5.380577427821521</v>
      </c>
    </row>
    <row r="1979" spans="1:5" hidden="1" x14ac:dyDescent="0.25">
      <c r="A1979" s="494" t="s">
        <v>96</v>
      </c>
      <c r="B1979" s="477" t="s">
        <v>97</v>
      </c>
      <c r="C1979" s="130" t="s">
        <v>375</v>
      </c>
      <c r="D1979" s="500"/>
      <c r="E1979" s="666">
        <v>4638.6329999999998</v>
      </c>
    </row>
    <row r="1980" spans="1:5" hidden="1" x14ac:dyDescent="0.25">
      <c r="A1980" s="494" t="s">
        <v>99</v>
      </c>
      <c r="B1980" s="477" t="s">
        <v>376</v>
      </c>
      <c r="C1980" s="130" t="s">
        <v>375</v>
      </c>
      <c r="D1980" s="462"/>
      <c r="E1980" s="666">
        <v>4638.6329999999998</v>
      </c>
    </row>
    <row r="1981" spans="1:5" hidden="1" x14ac:dyDescent="0.25">
      <c r="A1981" s="478" t="s">
        <v>101</v>
      </c>
      <c r="B1981" s="477" t="s">
        <v>377</v>
      </c>
      <c r="C1981" s="130" t="s">
        <v>375</v>
      </c>
      <c r="D1981" s="501"/>
      <c r="E1981" s="667">
        <v>4174.8789999999999</v>
      </c>
    </row>
    <row r="1982" spans="1:5" hidden="1" x14ac:dyDescent="0.25">
      <c r="A1982" s="478">
        <v>14</v>
      </c>
      <c r="B1982" s="477" t="s">
        <v>378</v>
      </c>
      <c r="C1982" s="125" t="s">
        <v>375</v>
      </c>
      <c r="D1982" s="462"/>
      <c r="E1982" s="462">
        <v>0</v>
      </c>
    </row>
    <row r="1983" spans="1:5" hidden="1" x14ac:dyDescent="0.25">
      <c r="B1983" s="643" t="s">
        <v>411</v>
      </c>
    </row>
    <row r="1984" spans="1:5" hidden="1" x14ac:dyDescent="0.25"/>
    <row r="1985" spans="1:6" hidden="1" x14ac:dyDescent="0.25">
      <c r="B1985" t="s">
        <v>189</v>
      </c>
      <c r="C1985" t="s">
        <v>193</v>
      </c>
      <c r="D1985" s="146" t="s">
        <v>190</v>
      </c>
    </row>
    <row r="1986" spans="1:6" hidden="1" x14ac:dyDescent="0.25">
      <c r="C1986" s="153" t="s">
        <v>194</v>
      </c>
    </row>
    <row r="1987" spans="1:6" hidden="1" x14ac:dyDescent="0.25"/>
    <row r="1988" spans="1:6" s="463" customFormat="1" ht="12.75" hidden="1" x14ac:dyDescent="0.2">
      <c r="D1988" s="592" t="s">
        <v>332</v>
      </c>
      <c r="E1988" s="592"/>
      <c r="F1988" s="486"/>
    </row>
    <row r="1989" spans="1:6" s="463" customFormat="1" ht="12.75" hidden="1" x14ac:dyDescent="0.2">
      <c r="D1989" s="851" t="s">
        <v>333</v>
      </c>
      <c r="E1989" s="851"/>
      <c r="F1989" s="479"/>
    </row>
    <row r="1990" spans="1:6" s="463" customFormat="1" ht="12.75" hidden="1" x14ac:dyDescent="0.2">
      <c r="D1990" s="851" t="s">
        <v>334</v>
      </c>
      <c r="E1990" s="851"/>
      <c r="F1990" s="479"/>
    </row>
    <row r="1991" spans="1:6" s="463" customFormat="1" ht="12.75" hidden="1" x14ac:dyDescent="0.2">
      <c r="D1991" s="660" t="s">
        <v>343</v>
      </c>
      <c r="E1991" s="520"/>
      <c r="F1991" s="480"/>
    </row>
    <row r="1992" spans="1:6" s="463" customFormat="1" ht="11.25" hidden="1" x14ac:dyDescent="0.2"/>
    <row r="1993" spans="1:6" s="463" customFormat="1" ht="12" hidden="1" x14ac:dyDescent="0.2">
      <c r="A1993" s="481"/>
      <c r="B1993" s="465" t="s">
        <v>335</v>
      </c>
      <c r="C1993" s="464"/>
      <c r="D1993" s="465" t="s">
        <v>336</v>
      </c>
      <c r="E1993" s="484"/>
      <c r="F1993" s="484"/>
    </row>
    <row r="1994" spans="1:6" s="463" customFormat="1" ht="12" hidden="1" x14ac:dyDescent="0.2">
      <c r="A1994" s="481"/>
      <c r="B1994" s="464" t="s">
        <v>337</v>
      </c>
      <c r="C1994" s="464"/>
      <c r="D1994" s="465" t="s">
        <v>338</v>
      </c>
      <c r="E1994" s="484"/>
      <c r="F1994" s="484"/>
    </row>
    <row r="1995" spans="1:6" s="463" customFormat="1" ht="12" hidden="1" x14ac:dyDescent="0.2">
      <c r="A1995" s="481"/>
      <c r="B1995" s="465" t="s">
        <v>379</v>
      </c>
      <c r="C1995" s="466"/>
      <c r="D1995" s="465" t="s">
        <v>339</v>
      </c>
      <c r="E1995" s="484"/>
      <c r="F1995" s="484"/>
    </row>
    <row r="1996" spans="1:6" s="463" customFormat="1" ht="12" hidden="1" x14ac:dyDescent="0.2">
      <c r="A1996" s="481"/>
      <c r="B1996" s="465" t="s">
        <v>380</v>
      </c>
      <c r="C1996" s="464"/>
      <c r="D1996" s="465" t="s">
        <v>385</v>
      </c>
      <c r="E1996" s="484"/>
      <c r="F1996" s="484"/>
    </row>
    <row r="1997" spans="1:6" s="463" customFormat="1" ht="12" hidden="1" x14ac:dyDescent="0.2">
      <c r="A1997" s="481"/>
      <c r="B1997" s="465" t="s">
        <v>381</v>
      </c>
      <c r="C1997" s="464"/>
      <c r="D1997" s="465" t="s">
        <v>382</v>
      </c>
      <c r="E1997" s="484"/>
      <c r="F1997" s="484"/>
    </row>
    <row r="1998" spans="1:6" s="463" customFormat="1" ht="12" hidden="1" x14ac:dyDescent="0.2">
      <c r="A1998" s="481"/>
      <c r="B1998" s="465" t="s">
        <v>382</v>
      </c>
      <c r="C1998" s="464"/>
      <c r="D1998" s="465" t="s">
        <v>386</v>
      </c>
      <c r="E1998" s="485"/>
      <c r="F1998" s="485"/>
    </row>
    <row r="1999" spans="1:6" s="463" customFormat="1" ht="12" hidden="1" x14ac:dyDescent="0.2">
      <c r="A1999" s="481"/>
      <c r="B1999" s="465" t="s">
        <v>383</v>
      </c>
      <c r="C1999" s="467"/>
      <c r="D1999" s="465"/>
      <c r="E1999" s="484"/>
      <c r="F1999" s="484"/>
    </row>
    <row r="2000" spans="1:6" s="463" customFormat="1" ht="12" hidden="1" x14ac:dyDescent="0.2">
      <c r="A2000" s="481"/>
      <c r="B2000" s="465" t="s">
        <v>384</v>
      </c>
      <c r="C2000" s="467"/>
      <c r="D2000" s="465"/>
      <c r="E2000" s="484"/>
      <c r="F2000" s="484"/>
    </row>
    <row r="2001" spans="1:5" hidden="1" x14ac:dyDescent="0.25">
      <c r="A2001" s="152"/>
      <c r="B2001" s="132"/>
      <c r="C2001" s="132"/>
      <c r="D2001" s="132"/>
      <c r="E2001" s="519"/>
    </row>
    <row r="2002" spans="1:5" ht="15.75" hidden="1" x14ac:dyDescent="0.25">
      <c r="A2002" s="141" t="s">
        <v>296</v>
      </c>
      <c r="B2002" s="141" t="s">
        <v>420</v>
      </c>
      <c r="C2002" s="2"/>
      <c r="D2002" s="2"/>
    </row>
    <row r="2003" spans="1:5" ht="15.75" hidden="1" x14ac:dyDescent="0.25">
      <c r="A2003" s="141"/>
      <c r="B2003" s="141"/>
      <c r="C2003" s="629" t="s">
        <v>421</v>
      </c>
      <c r="D2003" s="2"/>
    </row>
    <row r="2004" spans="1:5" ht="15.75" hidden="1" x14ac:dyDescent="0.25">
      <c r="A2004" s="141"/>
      <c r="B2004" s="141"/>
      <c r="C2004" s="505" t="s">
        <v>191</v>
      </c>
      <c r="D2004" s="2"/>
    </row>
    <row r="2005" spans="1:5" ht="15.75" hidden="1" x14ac:dyDescent="0.25">
      <c r="A2005" s="141"/>
      <c r="B2005" s="141"/>
      <c r="C2005" s="505"/>
      <c r="D2005" s="2"/>
    </row>
    <row r="2006" spans="1:5" hidden="1" x14ac:dyDescent="0.25">
      <c r="A2006" s="483" t="s">
        <v>6</v>
      </c>
      <c r="B2006" s="2"/>
      <c r="C2006" s="2"/>
      <c r="D2006" s="2"/>
      <c r="E2006" s="522"/>
    </row>
    <row r="2007" spans="1:5" hidden="1" x14ac:dyDescent="0.25">
      <c r="A2007" s="482" t="s">
        <v>340</v>
      </c>
      <c r="B2007" s="1"/>
      <c r="C2007" s="1"/>
      <c r="D2007" s="1"/>
      <c r="E2007" s="463"/>
    </row>
    <row r="2008" spans="1:5" hidden="1" x14ac:dyDescent="0.25">
      <c r="A2008" s="482"/>
      <c r="B2008" s="1"/>
      <c r="C2008" s="1"/>
      <c r="D2008" s="1"/>
      <c r="E2008" s="463"/>
    </row>
    <row r="2009" spans="1:5" hidden="1" x14ac:dyDescent="0.25">
      <c r="A2009" s="132" t="s">
        <v>7</v>
      </c>
      <c r="B2009" s="1"/>
      <c r="C2009" s="1"/>
      <c r="D2009" s="1"/>
      <c r="E2009" s="463"/>
    </row>
    <row r="2010" spans="1:5" hidden="1" x14ac:dyDescent="0.25">
      <c r="A2010" s="852" t="s">
        <v>405</v>
      </c>
      <c r="B2010" s="852"/>
      <c r="C2010" s="852"/>
      <c r="D2010" s="852"/>
      <c r="E2010" s="852"/>
    </row>
    <row r="2011" spans="1:5" hidden="1" x14ac:dyDescent="0.25">
      <c r="A2011" s="469" t="s">
        <v>8</v>
      </c>
      <c r="B2011" s="469" t="s">
        <v>9</v>
      </c>
      <c r="C2011" s="469" t="s">
        <v>10</v>
      </c>
      <c r="D2011" s="469" t="s">
        <v>11</v>
      </c>
      <c r="E2011" s="469" t="s">
        <v>12</v>
      </c>
    </row>
    <row r="2012" spans="1:5" hidden="1" x14ac:dyDescent="0.25">
      <c r="A2012" s="25">
        <v>1</v>
      </c>
      <c r="B2012" s="25">
        <v>2</v>
      </c>
      <c r="C2012" s="25">
        <v>3</v>
      </c>
      <c r="D2012" s="25">
        <v>4</v>
      </c>
      <c r="E2012" s="523">
        <v>5</v>
      </c>
    </row>
    <row r="2013" spans="1:5" hidden="1" x14ac:dyDescent="0.25">
      <c r="A2013" s="487" t="s">
        <v>13</v>
      </c>
      <c r="B2013" s="468" t="s">
        <v>344</v>
      </c>
      <c r="C2013" s="442"/>
      <c r="D2013" s="442"/>
      <c r="E2013" s="580"/>
    </row>
    <row r="2014" spans="1:5" ht="21.75" hidden="1" x14ac:dyDescent="0.25">
      <c r="A2014" s="597" t="s">
        <v>15</v>
      </c>
      <c r="B2014" s="596" t="s">
        <v>347</v>
      </c>
      <c r="C2014" s="508" t="s">
        <v>292</v>
      </c>
      <c r="D2014" s="598" t="s">
        <v>349</v>
      </c>
      <c r="E2014" s="634">
        <f>E2015+E2016</f>
        <v>5.7031791882247997</v>
      </c>
    </row>
    <row r="2015" spans="1:5" ht="16.5" hidden="1" x14ac:dyDescent="0.25">
      <c r="A2015" s="661" t="s">
        <v>16</v>
      </c>
      <c r="B2015" s="664" t="s">
        <v>346</v>
      </c>
      <c r="C2015" s="508" t="s">
        <v>292</v>
      </c>
      <c r="D2015" s="600" t="s">
        <v>350</v>
      </c>
      <c r="E2015" s="635">
        <v>1.32</v>
      </c>
    </row>
    <row r="2016" spans="1:5" ht="16.5" hidden="1" x14ac:dyDescent="0.25">
      <c r="A2016" s="853" t="s">
        <v>17</v>
      </c>
      <c r="B2016" s="664" t="s">
        <v>345</v>
      </c>
      <c r="C2016" s="508" t="s">
        <v>292</v>
      </c>
      <c r="D2016" s="631" t="s">
        <v>409</v>
      </c>
      <c r="E2016" s="636">
        <f>0.08+((44951*E2022+226*E2030+106.1*E2026+509*E2034)/(44.84*1000))/10</f>
        <v>4.3831791882247995</v>
      </c>
    </row>
    <row r="2017" spans="1:5" ht="24" hidden="1" x14ac:dyDescent="0.25">
      <c r="A2017" s="853"/>
      <c r="B2017" s="509" t="s">
        <v>345</v>
      </c>
      <c r="C2017" s="640" t="s">
        <v>410</v>
      </c>
      <c r="D2017" s="510" t="s">
        <v>412</v>
      </c>
      <c r="E2017" s="581"/>
    </row>
    <row r="2018" spans="1:5" hidden="1" x14ac:dyDescent="0.25">
      <c r="A2018" s="488" t="s">
        <v>21</v>
      </c>
      <c r="B2018" s="337" t="s">
        <v>351</v>
      </c>
      <c r="C2018" s="31"/>
      <c r="D2018" s="337"/>
      <c r="E2018" s="529"/>
    </row>
    <row r="2019" spans="1:5" hidden="1" x14ac:dyDescent="0.25">
      <c r="A2019" s="47" t="s">
        <v>23</v>
      </c>
      <c r="B2019" s="506" t="s">
        <v>24</v>
      </c>
      <c r="C2019" s="49"/>
      <c r="D2019" s="49"/>
      <c r="E2019" s="530"/>
    </row>
    <row r="2020" spans="1:5" hidden="1" x14ac:dyDescent="0.25">
      <c r="A2020" s="25" t="s">
        <v>25</v>
      </c>
      <c r="B2020" s="24" t="s">
        <v>26</v>
      </c>
      <c r="C2020" s="628" t="s">
        <v>328</v>
      </c>
      <c r="D2020" s="24"/>
      <c r="E2020" s="582">
        <v>27.51</v>
      </c>
    </row>
    <row r="2021" spans="1:5" hidden="1" x14ac:dyDescent="0.25">
      <c r="A2021" s="25" t="s">
        <v>27</v>
      </c>
      <c r="B2021" s="24" t="s">
        <v>28</v>
      </c>
      <c r="C2021" s="616" t="s">
        <v>328</v>
      </c>
      <c r="D2021" s="24"/>
      <c r="E2021" s="583">
        <v>12.56</v>
      </c>
    </row>
    <row r="2022" spans="1:5" hidden="1" x14ac:dyDescent="0.25">
      <c r="A2022" s="25" t="s">
        <v>29</v>
      </c>
      <c r="B2022" s="38" t="s">
        <v>30</v>
      </c>
      <c r="C2022" s="616" t="s">
        <v>328</v>
      </c>
      <c r="D2022" s="24"/>
      <c r="E2022" s="584">
        <f>E2020+E2021</f>
        <v>40.07</v>
      </c>
    </row>
    <row r="2023" spans="1:5" hidden="1" x14ac:dyDescent="0.25">
      <c r="A2023" s="36" t="s">
        <v>31</v>
      </c>
      <c r="B2023" s="41" t="s">
        <v>265</v>
      </c>
      <c r="C2023" s="42"/>
      <c r="D2023" s="42"/>
      <c r="E2023" s="531"/>
    </row>
    <row r="2024" spans="1:5" hidden="1" x14ac:dyDescent="0.25">
      <c r="A2024" s="25" t="s">
        <v>35</v>
      </c>
      <c r="B2024" s="24" t="s">
        <v>26</v>
      </c>
      <c r="C2024" s="617" t="s">
        <v>399</v>
      </c>
      <c r="D2024" s="24"/>
      <c r="E2024" s="532"/>
    </row>
    <row r="2025" spans="1:5" hidden="1" x14ac:dyDescent="0.25">
      <c r="A2025" s="25" t="s">
        <v>36</v>
      </c>
      <c r="B2025" s="24" t="s">
        <v>28</v>
      </c>
      <c r="C2025" s="618" t="s">
        <v>399</v>
      </c>
      <c r="D2025" s="24"/>
      <c r="E2025" s="532"/>
    </row>
    <row r="2026" spans="1:5" hidden="1" x14ac:dyDescent="0.25">
      <c r="A2026" s="25" t="s">
        <v>37</v>
      </c>
      <c r="B2026" s="24" t="s">
        <v>30</v>
      </c>
      <c r="C2026" s="618" t="s">
        <v>399</v>
      </c>
      <c r="D2026" s="24"/>
      <c r="E2026" s="584">
        <v>143.18</v>
      </c>
    </row>
    <row r="2027" spans="1:5" hidden="1" x14ac:dyDescent="0.25">
      <c r="A2027" s="36" t="s">
        <v>34</v>
      </c>
      <c r="B2027" s="41" t="s">
        <v>266</v>
      </c>
      <c r="C2027" s="420"/>
      <c r="D2027" s="42"/>
      <c r="E2027" s="531"/>
    </row>
    <row r="2028" spans="1:5" hidden="1" x14ac:dyDescent="0.25">
      <c r="A2028" s="25" t="s">
        <v>38</v>
      </c>
      <c r="B2028" s="24" t="s">
        <v>26</v>
      </c>
      <c r="C2028" s="618" t="s">
        <v>399</v>
      </c>
      <c r="D2028" s="24"/>
      <c r="E2028" s="532"/>
    </row>
    <row r="2029" spans="1:5" hidden="1" x14ac:dyDescent="0.25">
      <c r="A2029" s="25" t="s">
        <v>39</v>
      </c>
      <c r="B2029" s="24" t="s">
        <v>28</v>
      </c>
      <c r="C2029" s="618" t="s">
        <v>399</v>
      </c>
      <c r="D2029" s="24"/>
      <c r="E2029" s="532"/>
    </row>
    <row r="2030" spans="1:5" hidden="1" x14ac:dyDescent="0.25">
      <c r="A2030" s="25" t="s">
        <v>40</v>
      </c>
      <c r="B2030" s="24" t="s">
        <v>30</v>
      </c>
      <c r="C2030" s="618" t="s">
        <v>399</v>
      </c>
      <c r="D2030" s="24"/>
      <c r="E2030" s="584">
        <v>127.64</v>
      </c>
    </row>
    <row r="2031" spans="1:5" hidden="1" x14ac:dyDescent="0.25">
      <c r="A2031" s="37" t="s">
        <v>352</v>
      </c>
      <c r="B2031" s="45" t="s">
        <v>103</v>
      </c>
      <c r="C2031" s="46"/>
      <c r="D2031" s="46"/>
      <c r="E2031" s="533"/>
    </row>
    <row r="2032" spans="1:5" hidden="1" x14ac:dyDescent="0.25">
      <c r="A2032" s="29" t="s">
        <v>353</v>
      </c>
      <c r="B2032" s="44" t="s">
        <v>26</v>
      </c>
      <c r="C2032" s="618" t="s">
        <v>399</v>
      </c>
      <c r="D2032" s="24"/>
      <c r="E2032" s="532">
        <v>151.41</v>
      </c>
    </row>
    <row r="2033" spans="1:5" hidden="1" x14ac:dyDescent="0.25">
      <c r="A2033" s="29" t="s">
        <v>354</v>
      </c>
      <c r="B2033" s="24" t="s">
        <v>28</v>
      </c>
      <c r="C2033" s="618" t="s">
        <v>399</v>
      </c>
      <c r="D2033" s="24"/>
      <c r="E2033" s="524">
        <v>14.25</v>
      </c>
    </row>
    <row r="2034" spans="1:5" hidden="1" x14ac:dyDescent="0.25">
      <c r="A2034" s="489" t="s">
        <v>355</v>
      </c>
      <c r="B2034" s="38" t="s">
        <v>30</v>
      </c>
      <c r="C2034" s="618" t="s">
        <v>399</v>
      </c>
      <c r="D2034" s="24"/>
      <c r="E2034" s="584">
        <f>+E2032+E2033</f>
        <v>165.66</v>
      </c>
    </row>
    <row r="2035" spans="1:5" hidden="1" x14ac:dyDescent="0.25">
      <c r="A2035" s="490" t="s">
        <v>42</v>
      </c>
      <c r="B2035" s="471" t="s">
        <v>356</v>
      </c>
      <c r="C2035" s="52"/>
      <c r="D2035" s="52"/>
      <c r="E2035" s="534"/>
    </row>
    <row r="2036" spans="1:5" hidden="1" x14ac:dyDescent="0.25">
      <c r="A2036" s="25" t="s">
        <v>44</v>
      </c>
      <c r="B2036" s="24" t="s">
        <v>357</v>
      </c>
      <c r="C2036" s="24"/>
      <c r="D2036" s="24"/>
      <c r="E2036" s="523" t="s">
        <v>106</v>
      </c>
    </row>
    <row r="2037" spans="1:5" hidden="1" x14ac:dyDescent="0.25">
      <c r="A2037" s="25" t="s">
        <v>45</v>
      </c>
      <c r="B2037" s="24" t="s">
        <v>358</v>
      </c>
      <c r="C2037" s="508" t="s">
        <v>292</v>
      </c>
      <c r="D2037" s="24"/>
      <c r="E2037" s="524">
        <v>0</v>
      </c>
    </row>
    <row r="2038" spans="1:5" ht="22.5" hidden="1" x14ac:dyDescent="0.25">
      <c r="A2038" s="491" t="s">
        <v>46</v>
      </c>
      <c r="B2038" s="503" t="s">
        <v>359</v>
      </c>
      <c r="C2038" s="508" t="s">
        <v>292</v>
      </c>
      <c r="D2038" s="495" t="s">
        <v>387</v>
      </c>
      <c r="E2038" s="637">
        <f>E2039+E2040</f>
        <v>5.7031791882247997</v>
      </c>
    </row>
    <row r="2039" spans="1:5" ht="16.5" hidden="1" x14ac:dyDescent="0.25">
      <c r="A2039" s="25" t="s">
        <v>48</v>
      </c>
      <c r="B2039" s="24" t="s">
        <v>49</v>
      </c>
      <c r="C2039" s="508" t="s">
        <v>292</v>
      </c>
      <c r="D2039" s="600" t="s">
        <v>388</v>
      </c>
      <c r="E2039" s="532">
        <f>E2015</f>
        <v>1.32</v>
      </c>
    </row>
    <row r="2040" spans="1:5" ht="16.5" hidden="1" x14ac:dyDescent="0.25">
      <c r="A2040" s="854" t="s">
        <v>50</v>
      </c>
      <c r="B2040" s="472" t="s">
        <v>51</v>
      </c>
      <c r="C2040" s="511" t="s">
        <v>292</v>
      </c>
      <c r="D2040" s="600" t="s">
        <v>389</v>
      </c>
      <c r="E2040" s="536">
        <f>E2016</f>
        <v>4.3831791882247995</v>
      </c>
    </row>
    <row r="2041" spans="1:5" ht="24" hidden="1" x14ac:dyDescent="0.25">
      <c r="A2041" s="855"/>
      <c r="B2041" s="509" t="s">
        <v>51</v>
      </c>
      <c r="C2041" s="512" t="s">
        <v>410</v>
      </c>
      <c r="D2041" s="510" t="s">
        <v>412</v>
      </c>
      <c r="E2041" s="585"/>
    </row>
    <row r="2042" spans="1:5" hidden="1" x14ac:dyDescent="0.25">
      <c r="A2042" s="25" t="s">
        <v>52</v>
      </c>
      <c r="B2042" s="492" t="s">
        <v>360</v>
      </c>
      <c r="C2042" s="33"/>
      <c r="D2042" s="33"/>
      <c r="E2042" s="529"/>
    </row>
    <row r="2043" spans="1:5" ht="18.75" hidden="1" x14ac:dyDescent="0.3">
      <c r="A2043" s="25" t="s">
        <v>54</v>
      </c>
      <c r="B2043" s="24" t="s">
        <v>361</v>
      </c>
      <c r="C2043" s="11" t="s">
        <v>362</v>
      </c>
      <c r="D2043" s="497" t="s">
        <v>390</v>
      </c>
      <c r="E2043" s="524">
        <v>9.66</v>
      </c>
    </row>
    <row r="2044" spans="1:5" ht="16.5" hidden="1" x14ac:dyDescent="0.3">
      <c r="A2044" s="25" t="s">
        <v>57</v>
      </c>
      <c r="B2044" s="24" t="s">
        <v>58</v>
      </c>
      <c r="C2044" s="508" t="s">
        <v>292</v>
      </c>
      <c r="D2044" s="498" t="s">
        <v>389</v>
      </c>
      <c r="E2044" s="532">
        <f>E2040</f>
        <v>4.3831791882247995</v>
      </c>
    </row>
    <row r="2045" spans="1:5" hidden="1" x14ac:dyDescent="0.25">
      <c r="A2045" s="34" t="s">
        <v>60</v>
      </c>
      <c r="B2045" s="504" t="s">
        <v>61</v>
      </c>
      <c r="C2045" s="502"/>
      <c r="D2045" s="502"/>
      <c r="E2045" s="586"/>
    </row>
    <row r="2046" spans="1:5" ht="16.5" hidden="1" x14ac:dyDescent="0.25">
      <c r="A2046" s="602" t="s">
        <v>62</v>
      </c>
      <c r="B2046" s="601" t="s">
        <v>363</v>
      </c>
      <c r="C2046" s="508" t="s">
        <v>292</v>
      </c>
      <c r="D2046" s="600" t="s">
        <v>391</v>
      </c>
      <c r="E2046" s="638">
        <f>E2047+E2048</f>
        <v>1.9281653543283923</v>
      </c>
    </row>
    <row r="2047" spans="1:5" ht="16.5" hidden="1" x14ac:dyDescent="0.25">
      <c r="A2047" s="27" t="s">
        <v>63</v>
      </c>
      <c r="B2047" s="642" t="s">
        <v>64</v>
      </c>
      <c r="C2047" s="508" t="s">
        <v>292</v>
      </c>
      <c r="D2047" s="600" t="s">
        <v>392</v>
      </c>
      <c r="E2047" s="529">
        <v>0.71</v>
      </c>
    </row>
    <row r="2048" spans="1:5" ht="16.5" hidden="1" x14ac:dyDescent="0.25">
      <c r="A2048" s="856" t="s">
        <v>65</v>
      </c>
      <c r="B2048" s="603" t="s">
        <v>66</v>
      </c>
      <c r="C2048" s="508" t="s">
        <v>292</v>
      </c>
      <c r="D2048" s="630" t="s">
        <v>408</v>
      </c>
      <c r="E2048" s="514">
        <f>0.12+(7.24*E2014/37.6)</f>
        <v>1.2181653543283923</v>
      </c>
    </row>
    <row r="2049" spans="1:5" hidden="1" x14ac:dyDescent="0.25">
      <c r="A2049" s="857"/>
      <c r="B2049" s="619" t="s">
        <v>66</v>
      </c>
      <c r="C2049" s="513" t="s">
        <v>348</v>
      </c>
      <c r="D2049" s="641" t="s">
        <v>413</v>
      </c>
      <c r="E2049" s="587"/>
    </row>
    <row r="2050" spans="1:5" hidden="1" x14ac:dyDescent="0.25">
      <c r="A2050" s="470" t="s">
        <v>67</v>
      </c>
      <c r="B2050" s="473" t="s">
        <v>364</v>
      </c>
      <c r="C2050" s="9"/>
      <c r="D2050" s="24"/>
      <c r="E2050" s="524"/>
    </row>
    <row r="2051" spans="1:5" ht="18.75" hidden="1" x14ac:dyDescent="0.3">
      <c r="A2051" s="470" t="s">
        <v>69</v>
      </c>
      <c r="B2051" s="473" t="s">
        <v>361</v>
      </c>
      <c r="C2051" s="515" t="s">
        <v>362</v>
      </c>
      <c r="D2051" s="497" t="s">
        <v>393</v>
      </c>
      <c r="E2051" s="532">
        <v>4.66</v>
      </c>
    </row>
    <row r="2052" spans="1:5" ht="16.5" hidden="1" x14ac:dyDescent="0.3">
      <c r="A2052" s="470" t="s">
        <v>70</v>
      </c>
      <c r="B2052" s="473" t="s">
        <v>365</v>
      </c>
      <c r="C2052" s="508" t="s">
        <v>292</v>
      </c>
      <c r="D2052" s="498" t="s">
        <v>394</v>
      </c>
      <c r="E2052" s="532">
        <f>E2048</f>
        <v>1.2181653543283923</v>
      </c>
    </row>
    <row r="2053" spans="1:5" hidden="1" x14ac:dyDescent="0.25">
      <c r="A2053" s="126" t="s">
        <v>72</v>
      </c>
      <c r="B2053" s="504" t="s">
        <v>366</v>
      </c>
      <c r="C2053" s="516"/>
      <c r="D2053" s="502"/>
      <c r="E2053" s="586"/>
    </row>
    <row r="2054" spans="1:5" ht="16.5" hidden="1" x14ac:dyDescent="0.3">
      <c r="A2054" s="474" t="s">
        <v>79</v>
      </c>
      <c r="B2054" s="473" t="s">
        <v>367</v>
      </c>
      <c r="C2054" s="508" t="s">
        <v>292</v>
      </c>
      <c r="D2054" s="497" t="s">
        <v>370</v>
      </c>
      <c r="E2054" s="639">
        <v>0.09</v>
      </c>
    </row>
    <row r="2055" spans="1:5" ht="18.75" hidden="1" x14ac:dyDescent="0.3">
      <c r="A2055" s="474" t="s">
        <v>368</v>
      </c>
      <c r="B2055" s="626" t="s">
        <v>400</v>
      </c>
      <c r="C2055" s="627" t="s">
        <v>401</v>
      </c>
      <c r="D2055" s="621" t="s">
        <v>403</v>
      </c>
      <c r="E2055" s="462">
        <v>13.42</v>
      </c>
    </row>
    <row r="2056" spans="1:5" ht="18.75" hidden="1" x14ac:dyDescent="0.3">
      <c r="A2056" s="474" t="s">
        <v>369</v>
      </c>
      <c r="B2056" s="626" t="s">
        <v>402</v>
      </c>
      <c r="C2056" s="627" t="s">
        <v>401</v>
      </c>
      <c r="D2056" s="620" t="s">
        <v>404</v>
      </c>
      <c r="E2056" s="462">
        <v>0.68</v>
      </c>
    </row>
    <row r="2057" spans="1:5" ht="33" hidden="1" x14ac:dyDescent="0.25">
      <c r="A2057" s="493" t="s">
        <v>115</v>
      </c>
      <c r="B2057" s="622" t="s">
        <v>371</v>
      </c>
      <c r="C2057" s="623"/>
      <c r="D2057" s="624"/>
      <c r="E2057" s="623"/>
    </row>
    <row r="2058" spans="1:5" hidden="1" x14ac:dyDescent="0.25">
      <c r="A2058" s="494" t="s">
        <v>80</v>
      </c>
      <c r="B2058" s="477" t="s">
        <v>81</v>
      </c>
      <c r="C2058" s="508" t="s">
        <v>292</v>
      </c>
      <c r="D2058" s="625"/>
      <c r="E2058" s="639"/>
    </row>
    <row r="2059" spans="1:5" hidden="1" x14ac:dyDescent="0.25">
      <c r="A2059" s="494" t="s">
        <v>82</v>
      </c>
      <c r="B2059" s="477" t="s">
        <v>83</v>
      </c>
      <c r="C2059" s="508" t="s">
        <v>292</v>
      </c>
      <c r="D2059" s="625"/>
      <c r="E2059" s="639"/>
    </row>
    <row r="2060" spans="1:5" ht="21" hidden="1" x14ac:dyDescent="0.25">
      <c r="A2060" s="605" t="s">
        <v>84</v>
      </c>
      <c r="B2060" s="604" t="s">
        <v>372</v>
      </c>
      <c r="C2060" s="508" t="s">
        <v>292</v>
      </c>
      <c r="D2060" s="462"/>
      <c r="E2060" s="589">
        <f>ROUND(E2038+E2046+E2054+E2058+E2059, 2)</f>
        <v>7.72</v>
      </c>
    </row>
    <row r="2061" spans="1:5" hidden="1" x14ac:dyDescent="0.25">
      <c r="A2061" s="365" t="s">
        <v>85</v>
      </c>
      <c r="B2061" s="518" t="s">
        <v>86</v>
      </c>
      <c r="C2061" s="508" t="s">
        <v>373</v>
      </c>
      <c r="D2061" s="462"/>
      <c r="E2061" s="462">
        <v>0</v>
      </c>
    </row>
    <row r="2062" spans="1:5" hidden="1" x14ac:dyDescent="0.25">
      <c r="A2062" s="862" t="s">
        <v>87</v>
      </c>
      <c r="B2062" s="860" t="s">
        <v>88</v>
      </c>
      <c r="C2062" s="508" t="s">
        <v>292</v>
      </c>
      <c r="D2062" s="499"/>
      <c r="E2062" s="540">
        <f>E2060</f>
        <v>7.72</v>
      </c>
    </row>
    <row r="2063" spans="1:5" hidden="1" x14ac:dyDescent="0.25">
      <c r="A2063" s="863"/>
      <c r="B2063" s="861"/>
      <c r="C2063" s="507" t="s">
        <v>59</v>
      </c>
      <c r="D2063" s="499"/>
      <c r="E2063" s="588">
        <v>26.65</v>
      </c>
    </row>
    <row r="2064" spans="1:5" hidden="1" x14ac:dyDescent="0.25">
      <c r="A2064" s="858" t="s">
        <v>89</v>
      </c>
      <c r="B2064" s="860" t="s">
        <v>90</v>
      </c>
      <c r="C2064" s="508" t="s">
        <v>292</v>
      </c>
      <c r="D2064" s="499"/>
      <c r="E2064" s="538">
        <f>E2062*1.09</f>
        <v>8.4147999999999996</v>
      </c>
    </row>
    <row r="2065" spans="1:6" hidden="1" x14ac:dyDescent="0.25">
      <c r="A2065" s="859"/>
      <c r="B2065" s="861"/>
      <c r="C2065" s="507" t="s">
        <v>59</v>
      </c>
      <c r="D2065" s="499"/>
      <c r="E2065" s="588">
        <v>29.05</v>
      </c>
    </row>
    <row r="2066" spans="1:6" hidden="1" x14ac:dyDescent="0.25">
      <c r="A2066" s="858" t="s">
        <v>91</v>
      </c>
      <c r="B2066" s="860" t="s">
        <v>92</v>
      </c>
      <c r="C2066" s="508" t="s">
        <v>292</v>
      </c>
      <c r="D2066" s="499"/>
      <c r="E2066" s="668">
        <v>8.0299999999999994</v>
      </c>
    </row>
    <row r="2067" spans="1:6" hidden="1" x14ac:dyDescent="0.25">
      <c r="A2067" s="859"/>
      <c r="B2067" s="861"/>
      <c r="C2067" s="507" t="s">
        <v>59</v>
      </c>
      <c r="D2067" s="499"/>
      <c r="E2067" s="588">
        <v>27.72</v>
      </c>
    </row>
    <row r="2068" spans="1:6" hidden="1" x14ac:dyDescent="0.25">
      <c r="A2068" s="475" t="s">
        <v>93</v>
      </c>
      <c r="B2068" s="476" t="s">
        <v>374</v>
      </c>
      <c r="C2068" s="517" t="s">
        <v>95</v>
      </c>
      <c r="D2068" s="499"/>
      <c r="E2068" s="668">
        <f>(E2060/E2066)*100-100</f>
        <v>-3.8605230386052227</v>
      </c>
    </row>
    <row r="2069" spans="1:6" hidden="1" x14ac:dyDescent="0.25">
      <c r="A2069" s="494" t="s">
        <v>96</v>
      </c>
      <c r="B2069" s="477" t="s">
        <v>97</v>
      </c>
      <c r="C2069" s="130" t="s">
        <v>375</v>
      </c>
      <c r="D2069" s="500"/>
      <c r="E2069" s="666">
        <v>3338.5360000000001</v>
      </c>
    </row>
    <row r="2070" spans="1:6" hidden="1" x14ac:dyDescent="0.25">
      <c r="A2070" s="494" t="s">
        <v>99</v>
      </c>
      <c r="B2070" s="477" t="s">
        <v>376</v>
      </c>
      <c r="C2070" s="130" t="s">
        <v>375</v>
      </c>
      <c r="D2070" s="462"/>
      <c r="E2070" s="666">
        <v>3338.5360000000001</v>
      </c>
    </row>
    <row r="2071" spans="1:6" hidden="1" x14ac:dyDescent="0.25">
      <c r="A2071" s="478" t="s">
        <v>101</v>
      </c>
      <c r="B2071" s="477" t="s">
        <v>377</v>
      </c>
      <c r="C2071" s="130" t="s">
        <v>375</v>
      </c>
      <c r="D2071" s="501"/>
      <c r="E2071" s="667">
        <v>2981.6239999999998</v>
      </c>
    </row>
    <row r="2072" spans="1:6" hidden="1" x14ac:dyDescent="0.25">
      <c r="A2072" s="478">
        <v>14</v>
      </c>
      <c r="B2072" s="477" t="s">
        <v>378</v>
      </c>
      <c r="C2072" s="125" t="s">
        <v>375</v>
      </c>
      <c r="D2072" s="462"/>
      <c r="E2072" s="462">
        <v>0</v>
      </c>
    </row>
    <row r="2073" spans="1:6" hidden="1" x14ac:dyDescent="0.25">
      <c r="B2073" s="643" t="s">
        <v>411</v>
      </c>
    </row>
    <row r="2074" spans="1:6" hidden="1" x14ac:dyDescent="0.25"/>
    <row r="2075" spans="1:6" hidden="1" x14ac:dyDescent="0.25">
      <c r="B2075" t="s">
        <v>189</v>
      </c>
      <c r="C2075" t="s">
        <v>193</v>
      </c>
      <c r="D2075" s="146" t="s">
        <v>190</v>
      </c>
    </row>
    <row r="2076" spans="1:6" hidden="1" x14ac:dyDescent="0.25">
      <c r="C2076" s="153" t="s">
        <v>194</v>
      </c>
    </row>
    <row r="2077" spans="1:6" hidden="1" x14ac:dyDescent="0.25"/>
    <row r="2078" spans="1:6" s="463" customFormat="1" ht="12.75" hidden="1" x14ac:dyDescent="0.2">
      <c r="D2078" s="592" t="s">
        <v>332</v>
      </c>
      <c r="E2078" s="592"/>
      <c r="F2078" s="486"/>
    </row>
    <row r="2079" spans="1:6" s="463" customFormat="1" ht="12.75" hidden="1" x14ac:dyDescent="0.2">
      <c r="D2079" s="851" t="s">
        <v>333</v>
      </c>
      <c r="E2079" s="851"/>
      <c r="F2079" s="479"/>
    </row>
    <row r="2080" spans="1:6" s="463" customFormat="1" ht="12.75" hidden="1" x14ac:dyDescent="0.2">
      <c r="D2080" s="851" t="s">
        <v>334</v>
      </c>
      <c r="E2080" s="851"/>
      <c r="F2080" s="479"/>
    </row>
    <row r="2081" spans="1:6" s="463" customFormat="1" ht="12.75" hidden="1" x14ac:dyDescent="0.2">
      <c r="D2081" s="673" t="s">
        <v>343</v>
      </c>
      <c r="E2081" s="520"/>
      <c r="F2081" s="480"/>
    </row>
    <row r="2082" spans="1:6" s="463" customFormat="1" ht="11.25" hidden="1" x14ac:dyDescent="0.2"/>
    <row r="2083" spans="1:6" s="463" customFormat="1" ht="12" hidden="1" x14ac:dyDescent="0.2">
      <c r="A2083" s="481"/>
      <c r="B2083" s="465" t="s">
        <v>335</v>
      </c>
      <c r="C2083" s="464"/>
      <c r="D2083" s="465" t="s">
        <v>336</v>
      </c>
      <c r="E2083" s="484"/>
      <c r="F2083" s="484"/>
    </row>
    <row r="2084" spans="1:6" s="463" customFormat="1" ht="12" hidden="1" x14ac:dyDescent="0.2">
      <c r="A2084" s="481"/>
      <c r="B2084" s="464" t="s">
        <v>337</v>
      </c>
      <c r="C2084" s="464"/>
      <c r="D2084" s="465" t="s">
        <v>338</v>
      </c>
      <c r="E2084" s="484"/>
      <c r="F2084" s="484"/>
    </row>
    <row r="2085" spans="1:6" s="463" customFormat="1" ht="12" hidden="1" x14ac:dyDescent="0.2">
      <c r="A2085" s="481"/>
      <c r="B2085" s="465" t="s">
        <v>379</v>
      </c>
      <c r="C2085" s="466"/>
      <c r="D2085" s="465" t="s">
        <v>339</v>
      </c>
      <c r="E2085" s="484"/>
      <c r="F2085" s="484"/>
    </row>
    <row r="2086" spans="1:6" s="463" customFormat="1" ht="12" hidden="1" x14ac:dyDescent="0.2">
      <c r="A2086" s="481"/>
      <c r="B2086" s="465" t="s">
        <v>380</v>
      </c>
      <c r="C2086" s="464"/>
      <c r="D2086" s="465" t="s">
        <v>385</v>
      </c>
      <c r="E2086" s="484"/>
      <c r="F2086" s="484"/>
    </row>
    <row r="2087" spans="1:6" s="463" customFormat="1" ht="12" hidden="1" x14ac:dyDescent="0.2">
      <c r="A2087" s="481"/>
      <c r="B2087" s="465" t="s">
        <v>381</v>
      </c>
      <c r="C2087" s="464"/>
      <c r="D2087" s="465" t="s">
        <v>382</v>
      </c>
      <c r="E2087" s="484"/>
      <c r="F2087" s="484"/>
    </row>
    <row r="2088" spans="1:6" s="463" customFormat="1" ht="12" hidden="1" x14ac:dyDescent="0.2">
      <c r="A2088" s="481"/>
      <c r="B2088" s="465" t="s">
        <v>382</v>
      </c>
      <c r="C2088" s="464"/>
      <c r="D2088" s="465" t="s">
        <v>386</v>
      </c>
      <c r="E2088" s="485"/>
      <c r="F2088" s="485"/>
    </row>
    <row r="2089" spans="1:6" s="463" customFormat="1" ht="12" hidden="1" x14ac:dyDescent="0.2">
      <c r="A2089" s="481"/>
      <c r="B2089" s="465" t="s">
        <v>383</v>
      </c>
      <c r="C2089" s="467"/>
      <c r="D2089" s="465"/>
      <c r="E2089" s="484"/>
      <c r="F2089" s="484"/>
    </row>
    <row r="2090" spans="1:6" s="463" customFormat="1" ht="12" hidden="1" x14ac:dyDescent="0.2">
      <c r="A2090" s="481"/>
      <c r="B2090" s="465" t="s">
        <v>384</v>
      </c>
      <c r="C2090" s="467"/>
      <c r="D2090" s="465"/>
      <c r="E2090" s="484"/>
      <c r="F2090" s="484"/>
    </row>
    <row r="2091" spans="1:6" hidden="1" x14ac:dyDescent="0.25">
      <c r="A2091" s="152"/>
      <c r="B2091" s="132"/>
      <c r="C2091" s="132"/>
      <c r="D2091" s="132"/>
      <c r="E2091" s="519"/>
    </row>
    <row r="2092" spans="1:6" ht="15.75" hidden="1" x14ac:dyDescent="0.25">
      <c r="A2092" s="141" t="s">
        <v>296</v>
      </c>
      <c r="B2092" s="141" t="s">
        <v>426</v>
      </c>
      <c r="C2092" s="2"/>
      <c r="D2092" s="2"/>
    </row>
    <row r="2093" spans="1:6" ht="15.75" hidden="1" x14ac:dyDescent="0.25">
      <c r="A2093" s="141"/>
      <c r="B2093" s="141"/>
      <c r="C2093" s="629" t="s">
        <v>430</v>
      </c>
      <c r="D2093" s="2"/>
    </row>
    <row r="2094" spans="1:6" ht="15.75" hidden="1" x14ac:dyDescent="0.25">
      <c r="A2094" s="141"/>
      <c r="B2094" s="141"/>
      <c r="C2094" s="505" t="s">
        <v>191</v>
      </c>
      <c r="D2094" s="2"/>
    </row>
    <row r="2095" spans="1:6" ht="15.75" hidden="1" x14ac:dyDescent="0.25">
      <c r="A2095" s="141"/>
      <c r="B2095" s="141"/>
      <c r="C2095" s="505"/>
      <c r="D2095" s="2"/>
    </row>
    <row r="2096" spans="1:6" hidden="1" x14ac:dyDescent="0.25">
      <c r="A2096" s="483" t="s">
        <v>6</v>
      </c>
      <c r="B2096" s="2"/>
      <c r="C2096" s="2"/>
      <c r="D2096" s="2"/>
      <c r="E2096" s="522"/>
    </row>
    <row r="2097" spans="1:5" hidden="1" x14ac:dyDescent="0.25">
      <c r="A2097" s="482" t="s">
        <v>340</v>
      </c>
      <c r="B2097" s="1"/>
      <c r="C2097" s="1"/>
      <c r="D2097" s="1"/>
      <c r="E2097" s="463"/>
    </row>
    <row r="2098" spans="1:5" hidden="1" x14ac:dyDescent="0.25">
      <c r="A2098" s="482"/>
      <c r="B2098" s="1"/>
      <c r="C2098" s="1"/>
      <c r="D2098" s="1"/>
      <c r="E2098" s="463"/>
    </row>
    <row r="2099" spans="1:5" hidden="1" x14ac:dyDescent="0.25">
      <c r="A2099" s="132" t="s">
        <v>7</v>
      </c>
      <c r="B2099" s="1"/>
      <c r="C2099" s="1"/>
      <c r="D2099" s="1"/>
      <c r="E2099" s="463"/>
    </row>
    <row r="2100" spans="1:5" hidden="1" x14ac:dyDescent="0.25">
      <c r="A2100" s="852" t="s">
        <v>405</v>
      </c>
      <c r="B2100" s="852"/>
      <c r="C2100" s="852"/>
      <c r="D2100" s="852"/>
      <c r="E2100" s="852"/>
    </row>
    <row r="2101" spans="1:5" hidden="1" x14ac:dyDescent="0.25">
      <c r="A2101" s="469" t="s">
        <v>8</v>
      </c>
      <c r="B2101" s="469" t="s">
        <v>9</v>
      </c>
      <c r="C2101" s="469" t="s">
        <v>10</v>
      </c>
      <c r="D2101" s="469" t="s">
        <v>11</v>
      </c>
      <c r="E2101" s="469" t="s">
        <v>12</v>
      </c>
    </row>
    <row r="2102" spans="1:5" hidden="1" x14ac:dyDescent="0.25">
      <c r="A2102" s="25">
        <v>1</v>
      </c>
      <c r="B2102" s="25">
        <v>2</v>
      </c>
      <c r="C2102" s="25">
        <v>3</v>
      </c>
      <c r="D2102" s="25">
        <v>4</v>
      </c>
      <c r="E2102" s="523">
        <v>5</v>
      </c>
    </row>
    <row r="2103" spans="1:5" hidden="1" x14ac:dyDescent="0.25">
      <c r="A2103" s="487" t="s">
        <v>13</v>
      </c>
      <c r="B2103" s="468" t="s">
        <v>344</v>
      </c>
      <c r="C2103" s="442"/>
      <c r="D2103" s="442"/>
      <c r="E2103" s="580"/>
    </row>
    <row r="2104" spans="1:5" ht="21.75" hidden="1" x14ac:dyDescent="0.25">
      <c r="A2104" s="597" t="s">
        <v>15</v>
      </c>
      <c r="B2104" s="596" t="s">
        <v>347</v>
      </c>
      <c r="C2104" s="508" t="s">
        <v>292</v>
      </c>
      <c r="D2104" s="598" t="s">
        <v>349</v>
      </c>
      <c r="E2104" s="634">
        <f>E2105+E2106</f>
        <v>6.0200000000000005</v>
      </c>
    </row>
    <row r="2105" spans="1:5" ht="16.5" hidden="1" x14ac:dyDescent="0.25">
      <c r="A2105" s="674" t="s">
        <v>16</v>
      </c>
      <c r="B2105" s="679" t="s">
        <v>346</v>
      </c>
      <c r="C2105" s="508" t="s">
        <v>292</v>
      </c>
      <c r="D2105" s="600" t="s">
        <v>350</v>
      </c>
      <c r="E2105" s="635">
        <v>1.32</v>
      </c>
    </row>
    <row r="2106" spans="1:5" ht="16.5" hidden="1" x14ac:dyDescent="0.25">
      <c r="A2106" s="853" t="s">
        <v>17</v>
      </c>
      <c r="B2106" s="679" t="s">
        <v>345</v>
      </c>
      <c r="C2106" s="508" t="s">
        <v>292</v>
      </c>
      <c r="D2106" s="631" t="s">
        <v>409</v>
      </c>
      <c r="E2106" s="636">
        <f>ROUND(0.08+((44951*E2112+226*E2120+106.1*E2116+509*E2124)/(44.84*1000))/10,2)</f>
        <v>4.7</v>
      </c>
    </row>
    <row r="2107" spans="1:5" ht="24" hidden="1" x14ac:dyDescent="0.25">
      <c r="A2107" s="853"/>
      <c r="B2107" s="509" t="s">
        <v>345</v>
      </c>
      <c r="C2107" s="640" t="s">
        <v>410</v>
      </c>
      <c r="D2107" s="510" t="s">
        <v>412</v>
      </c>
      <c r="E2107" s="581"/>
    </row>
    <row r="2108" spans="1:5" hidden="1" x14ac:dyDescent="0.25">
      <c r="A2108" s="488" t="s">
        <v>21</v>
      </c>
      <c r="B2108" s="337" t="s">
        <v>351</v>
      </c>
      <c r="C2108" s="31"/>
      <c r="D2108" s="337"/>
      <c r="E2108" s="529"/>
    </row>
    <row r="2109" spans="1:5" hidden="1" x14ac:dyDescent="0.25">
      <c r="A2109" s="47" t="s">
        <v>23</v>
      </c>
      <c r="B2109" s="506" t="s">
        <v>24</v>
      </c>
      <c r="C2109" s="49"/>
      <c r="D2109" s="49"/>
      <c r="E2109" s="530"/>
    </row>
    <row r="2110" spans="1:5" hidden="1" x14ac:dyDescent="0.25">
      <c r="A2110" s="25" t="s">
        <v>25</v>
      </c>
      <c r="B2110" s="24" t="s">
        <v>26</v>
      </c>
      <c r="C2110" s="628" t="s">
        <v>328</v>
      </c>
      <c r="D2110" s="24"/>
      <c r="E2110" s="582">
        <v>30.83</v>
      </c>
    </row>
    <row r="2111" spans="1:5" hidden="1" x14ac:dyDescent="0.25">
      <c r="A2111" s="25" t="s">
        <v>27</v>
      </c>
      <c r="B2111" s="24" t="s">
        <v>28</v>
      </c>
      <c r="C2111" s="616" t="s">
        <v>328</v>
      </c>
      <c r="D2111" s="24"/>
      <c r="E2111" s="583">
        <v>12.56</v>
      </c>
    </row>
    <row r="2112" spans="1:5" hidden="1" x14ac:dyDescent="0.25">
      <c r="A2112" s="25" t="s">
        <v>29</v>
      </c>
      <c r="B2112" s="38" t="s">
        <v>30</v>
      </c>
      <c r="C2112" s="616" t="s">
        <v>328</v>
      </c>
      <c r="D2112" s="24"/>
      <c r="E2112" s="584">
        <f>E2110+E2111</f>
        <v>43.39</v>
      </c>
    </row>
    <row r="2113" spans="1:5" hidden="1" x14ac:dyDescent="0.25">
      <c r="A2113" s="36" t="s">
        <v>31</v>
      </c>
      <c r="B2113" s="41" t="s">
        <v>265</v>
      </c>
      <c r="C2113" s="42"/>
      <c r="D2113" s="42"/>
      <c r="E2113" s="531"/>
    </row>
    <row r="2114" spans="1:5" hidden="1" x14ac:dyDescent="0.25">
      <c r="A2114" s="25" t="s">
        <v>35</v>
      </c>
      <c r="B2114" s="24" t="s">
        <v>26</v>
      </c>
      <c r="C2114" s="617" t="s">
        <v>399</v>
      </c>
      <c r="D2114" s="24"/>
      <c r="E2114" s="532"/>
    </row>
    <row r="2115" spans="1:5" hidden="1" x14ac:dyDescent="0.25">
      <c r="A2115" s="25" t="s">
        <v>36</v>
      </c>
      <c r="B2115" s="24" t="s">
        <v>28</v>
      </c>
      <c r="C2115" s="618" t="s">
        <v>399</v>
      </c>
      <c r="D2115" s="24"/>
      <c r="E2115" s="532"/>
    </row>
    <row r="2116" spans="1:5" hidden="1" x14ac:dyDescent="0.25">
      <c r="A2116" s="25" t="s">
        <v>37</v>
      </c>
      <c r="B2116" s="24" t="s">
        <v>30</v>
      </c>
      <c r="C2116" s="618" t="s">
        <v>399</v>
      </c>
      <c r="D2116" s="24"/>
      <c r="E2116" s="584">
        <v>111.51</v>
      </c>
    </row>
    <row r="2117" spans="1:5" hidden="1" x14ac:dyDescent="0.25">
      <c r="A2117" s="36" t="s">
        <v>34</v>
      </c>
      <c r="B2117" s="41" t="s">
        <v>266</v>
      </c>
      <c r="C2117" s="420"/>
      <c r="D2117" s="42"/>
      <c r="E2117" s="531"/>
    </row>
    <row r="2118" spans="1:5" hidden="1" x14ac:dyDescent="0.25">
      <c r="A2118" s="25" t="s">
        <v>38</v>
      </c>
      <c r="B2118" s="24" t="s">
        <v>26</v>
      </c>
      <c r="C2118" s="618" t="s">
        <v>399</v>
      </c>
      <c r="D2118" s="24"/>
      <c r="E2118" s="532">
        <v>97.76</v>
      </c>
    </row>
    <row r="2119" spans="1:5" hidden="1" x14ac:dyDescent="0.25">
      <c r="A2119" s="25" t="s">
        <v>39</v>
      </c>
      <c r="B2119" s="24" t="s">
        <v>28</v>
      </c>
      <c r="C2119" s="618" t="s">
        <v>399</v>
      </c>
      <c r="D2119" s="24"/>
      <c r="E2119" s="532">
        <v>4.16</v>
      </c>
    </row>
    <row r="2120" spans="1:5" hidden="1" x14ac:dyDescent="0.25">
      <c r="A2120" s="25" t="s">
        <v>40</v>
      </c>
      <c r="B2120" s="24" t="s">
        <v>30</v>
      </c>
      <c r="C2120" s="618" t="s">
        <v>399</v>
      </c>
      <c r="D2120" s="24"/>
      <c r="E2120" s="584">
        <f>+E2118+E2119</f>
        <v>101.92</v>
      </c>
    </row>
    <row r="2121" spans="1:5" hidden="1" x14ac:dyDescent="0.25">
      <c r="A2121" s="37" t="s">
        <v>352</v>
      </c>
      <c r="B2121" s="45" t="s">
        <v>103</v>
      </c>
      <c r="C2121" s="46"/>
      <c r="D2121" s="46"/>
      <c r="E2121" s="533"/>
    </row>
    <row r="2122" spans="1:5" hidden="1" x14ac:dyDescent="0.25">
      <c r="A2122" s="29" t="s">
        <v>353</v>
      </c>
      <c r="B2122" s="44" t="s">
        <v>26</v>
      </c>
      <c r="C2122" s="618" t="s">
        <v>399</v>
      </c>
      <c r="D2122" s="24"/>
      <c r="E2122" s="532">
        <v>151.41</v>
      </c>
    </row>
    <row r="2123" spans="1:5" hidden="1" x14ac:dyDescent="0.25">
      <c r="A2123" s="29" t="s">
        <v>354</v>
      </c>
      <c r="B2123" s="24" t="s">
        <v>28</v>
      </c>
      <c r="C2123" s="618" t="s">
        <v>399</v>
      </c>
      <c r="D2123" s="24"/>
      <c r="E2123" s="524">
        <v>14.25</v>
      </c>
    </row>
    <row r="2124" spans="1:5" hidden="1" x14ac:dyDescent="0.25">
      <c r="A2124" s="489" t="s">
        <v>355</v>
      </c>
      <c r="B2124" s="38" t="s">
        <v>30</v>
      </c>
      <c r="C2124" s="618" t="s">
        <v>399</v>
      </c>
      <c r="D2124" s="24"/>
      <c r="E2124" s="584">
        <f>+E2122+E2123</f>
        <v>165.66</v>
      </c>
    </row>
    <row r="2125" spans="1:5" hidden="1" x14ac:dyDescent="0.25">
      <c r="A2125" s="490" t="s">
        <v>42</v>
      </c>
      <c r="B2125" s="471" t="s">
        <v>356</v>
      </c>
      <c r="C2125" s="52"/>
      <c r="D2125" s="52"/>
      <c r="E2125" s="534"/>
    </row>
    <row r="2126" spans="1:5" hidden="1" x14ac:dyDescent="0.25">
      <c r="A2126" s="25" t="s">
        <v>44</v>
      </c>
      <c r="B2126" s="24" t="s">
        <v>357</v>
      </c>
      <c r="C2126" s="24"/>
      <c r="D2126" s="24"/>
      <c r="E2126" s="523" t="s">
        <v>106</v>
      </c>
    </row>
    <row r="2127" spans="1:5" hidden="1" x14ac:dyDescent="0.25">
      <c r="A2127" s="25" t="s">
        <v>45</v>
      </c>
      <c r="B2127" s="24" t="s">
        <v>358</v>
      </c>
      <c r="C2127" s="508" t="s">
        <v>292</v>
      </c>
      <c r="D2127" s="24"/>
      <c r="E2127" s="524">
        <v>0</v>
      </c>
    </row>
    <row r="2128" spans="1:5" ht="22.5" hidden="1" x14ac:dyDescent="0.25">
      <c r="A2128" s="491" t="s">
        <v>46</v>
      </c>
      <c r="B2128" s="503" t="s">
        <v>359</v>
      </c>
      <c r="C2128" s="508" t="s">
        <v>292</v>
      </c>
      <c r="D2128" s="495" t="s">
        <v>387</v>
      </c>
      <c r="E2128" s="637">
        <f>E2129+E2130</f>
        <v>6.0200000000000005</v>
      </c>
    </row>
    <row r="2129" spans="1:5" ht="16.5" hidden="1" x14ac:dyDescent="0.25">
      <c r="A2129" s="25" t="s">
        <v>48</v>
      </c>
      <c r="B2129" s="24" t="s">
        <v>49</v>
      </c>
      <c r="C2129" s="508" t="s">
        <v>292</v>
      </c>
      <c r="D2129" s="600" t="s">
        <v>388</v>
      </c>
      <c r="E2129" s="532">
        <f>E2105</f>
        <v>1.32</v>
      </c>
    </row>
    <row r="2130" spans="1:5" ht="16.5" hidden="1" x14ac:dyDescent="0.25">
      <c r="A2130" s="854" t="s">
        <v>50</v>
      </c>
      <c r="B2130" s="472" t="s">
        <v>51</v>
      </c>
      <c r="C2130" s="511" t="s">
        <v>292</v>
      </c>
      <c r="D2130" s="600" t="s">
        <v>389</v>
      </c>
      <c r="E2130" s="536">
        <f>E2106</f>
        <v>4.7</v>
      </c>
    </row>
    <row r="2131" spans="1:5" ht="24" hidden="1" x14ac:dyDescent="0.25">
      <c r="A2131" s="855"/>
      <c r="B2131" s="509" t="s">
        <v>51</v>
      </c>
      <c r="C2131" s="512" t="s">
        <v>410</v>
      </c>
      <c r="D2131" s="510" t="s">
        <v>412</v>
      </c>
      <c r="E2131" s="585"/>
    </row>
    <row r="2132" spans="1:5" hidden="1" x14ac:dyDescent="0.25">
      <c r="A2132" s="25" t="s">
        <v>52</v>
      </c>
      <c r="B2132" s="492" t="s">
        <v>360</v>
      </c>
      <c r="C2132" s="33"/>
      <c r="D2132" s="33"/>
      <c r="E2132" s="529"/>
    </row>
    <row r="2133" spans="1:5" ht="18.75" hidden="1" x14ac:dyDescent="0.3">
      <c r="A2133" s="25" t="s">
        <v>54</v>
      </c>
      <c r="B2133" s="24" t="s">
        <v>361</v>
      </c>
      <c r="C2133" s="11" t="s">
        <v>362</v>
      </c>
      <c r="D2133" s="497" t="s">
        <v>390</v>
      </c>
      <c r="E2133" s="524">
        <v>9.66</v>
      </c>
    </row>
    <row r="2134" spans="1:5" ht="16.5" hidden="1" x14ac:dyDescent="0.3">
      <c r="A2134" s="25" t="s">
        <v>57</v>
      </c>
      <c r="B2134" s="24" t="s">
        <v>58</v>
      </c>
      <c r="C2134" s="508" t="s">
        <v>292</v>
      </c>
      <c r="D2134" s="498" t="s">
        <v>389</v>
      </c>
      <c r="E2134" s="532">
        <f>E2130</f>
        <v>4.7</v>
      </c>
    </row>
    <row r="2135" spans="1:5" hidden="1" x14ac:dyDescent="0.25">
      <c r="A2135" s="34" t="s">
        <v>60</v>
      </c>
      <c r="B2135" s="504" t="s">
        <v>61</v>
      </c>
      <c r="C2135" s="502"/>
      <c r="D2135" s="502"/>
      <c r="E2135" s="586"/>
    </row>
    <row r="2136" spans="1:5" ht="16.5" hidden="1" x14ac:dyDescent="0.25">
      <c r="A2136" s="602" t="s">
        <v>62</v>
      </c>
      <c r="B2136" s="601" t="s">
        <v>363</v>
      </c>
      <c r="C2136" s="508" t="s">
        <v>292</v>
      </c>
      <c r="D2136" s="600" t="s">
        <v>391</v>
      </c>
      <c r="E2136" s="638">
        <f>E2137+E2138</f>
        <v>1.9891702127659574</v>
      </c>
    </row>
    <row r="2137" spans="1:5" ht="16.5" hidden="1" x14ac:dyDescent="0.25">
      <c r="A2137" s="27" t="s">
        <v>63</v>
      </c>
      <c r="B2137" s="642" t="s">
        <v>64</v>
      </c>
      <c r="C2137" s="508" t="s">
        <v>292</v>
      </c>
      <c r="D2137" s="600" t="s">
        <v>392</v>
      </c>
      <c r="E2137" s="529">
        <v>0.71</v>
      </c>
    </row>
    <row r="2138" spans="1:5" ht="16.5" hidden="1" x14ac:dyDescent="0.25">
      <c r="A2138" s="856" t="s">
        <v>65</v>
      </c>
      <c r="B2138" s="603" t="s">
        <v>66</v>
      </c>
      <c r="C2138" s="508" t="s">
        <v>292</v>
      </c>
      <c r="D2138" s="630" t="s">
        <v>408</v>
      </c>
      <c r="E2138" s="514">
        <f>0.12+(7.24*E2104/37.6)</f>
        <v>1.2791702127659574</v>
      </c>
    </row>
    <row r="2139" spans="1:5" hidden="1" x14ac:dyDescent="0.25">
      <c r="A2139" s="857"/>
      <c r="B2139" s="619" t="s">
        <v>66</v>
      </c>
      <c r="C2139" s="513" t="s">
        <v>348</v>
      </c>
      <c r="D2139" s="641" t="s">
        <v>413</v>
      </c>
      <c r="E2139" s="587"/>
    </row>
    <row r="2140" spans="1:5" hidden="1" x14ac:dyDescent="0.25">
      <c r="A2140" s="470" t="s">
        <v>67</v>
      </c>
      <c r="B2140" s="473" t="s">
        <v>364</v>
      </c>
      <c r="C2140" s="9"/>
      <c r="D2140" s="24"/>
      <c r="E2140" s="524"/>
    </row>
    <row r="2141" spans="1:5" ht="18.75" hidden="1" x14ac:dyDescent="0.3">
      <c r="A2141" s="470" t="s">
        <v>69</v>
      </c>
      <c r="B2141" s="473" t="s">
        <v>361</v>
      </c>
      <c r="C2141" s="515" t="s">
        <v>362</v>
      </c>
      <c r="D2141" s="497" t="s">
        <v>393</v>
      </c>
      <c r="E2141" s="532">
        <v>4.66</v>
      </c>
    </row>
    <row r="2142" spans="1:5" ht="16.5" hidden="1" x14ac:dyDescent="0.3">
      <c r="A2142" s="470" t="s">
        <v>70</v>
      </c>
      <c r="B2142" s="473" t="s">
        <v>365</v>
      </c>
      <c r="C2142" s="508" t="s">
        <v>292</v>
      </c>
      <c r="D2142" s="498" t="s">
        <v>394</v>
      </c>
      <c r="E2142" s="532">
        <f>E2138</f>
        <v>1.2791702127659574</v>
      </c>
    </row>
    <row r="2143" spans="1:5" hidden="1" x14ac:dyDescent="0.25">
      <c r="A2143" s="126" t="s">
        <v>72</v>
      </c>
      <c r="B2143" s="504" t="s">
        <v>366</v>
      </c>
      <c r="C2143" s="516"/>
      <c r="D2143" s="502"/>
      <c r="E2143" s="586"/>
    </row>
    <row r="2144" spans="1:5" ht="16.5" hidden="1" x14ac:dyDescent="0.3">
      <c r="A2144" s="474" t="s">
        <v>79</v>
      </c>
      <c r="B2144" s="473" t="s">
        <v>367</v>
      </c>
      <c r="C2144" s="508" t="s">
        <v>292</v>
      </c>
      <c r="D2144" s="497" t="s">
        <v>370</v>
      </c>
      <c r="E2144" s="639">
        <v>0.09</v>
      </c>
    </row>
    <row r="2145" spans="1:5" ht="18.75" hidden="1" x14ac:dyDescent="0.3">
      <c r="A2145" s="474" t="s">
        <v>368</v>
      </c>
      <c r="B2145" s="626" t="s">
        <v>400</v>
      </c>
      <c r="C2145" s="627" t="s">
        <v>401</v>
      </c>
      <c r="D2145" s="621" t="s">
        <v>403</v>
      </c>
      <c r="E2145" s="462">
        <v>13.42</v>
      </c>
    </row>
    <row r="2146" spans="1:5" ht="18.75" hidden="1" x14ac:dyDescent="0.3">
      <c r="A2146" s="474" t="s">
        <v>369</v>
      </c>
      <c r="B2146" s="626" t="s">
        <v>402</v>
      </c>
      <c r="C2146" s="627" t="s">
        <v>401</v>
      </c>
      <c r="D2146" s="620" t="s">
        <v>404</v>
      </c>
      <c r="E2146" s="462">
        <v>0.68</v>
      </c>
    </row>
    <row r="2147" spans="1:5" ht="33" hidden="1" x14ac:dyDescent="0.25">
      <c r="A2147" s="493" t="s">
        <v>115</v>
      </c>
      <c r="B2147" s="622" t="s">
        <v>371</v>
      </c>
      <c r="C2147" s="623"/>
      <c r="D2147" s="624"/>
      <c r="E2147" s="623"/>
    </row>
    <row r="2148" spans="1:5" hidden="1" x14ac:dyDescent="0.25">
      <c r="A2148" s="494" t="s">
        <v>80</v>
      </c>
      <c r="B2148" s="477" t="s">
        <v>81</v>
      </c>
      <c r="C2148" s="508" t="s">
        <v>292</v>
      </c>
      <c r="D2148" s="625"/>
      <c r="E2148" s="639"/>
    </row>
    <row r="2149" spans="1:5" hidden="1" x14ac:dyDescent="0.25">
      <c r="A2149" s="494" t="s">
        <v>82</v>
      </c>
      <c r="B2149" s="477" t="s">
        <v>83</v>
      </c>
      <c r="C2149" s="508" t="s">
        <v>292</v>
      </c>
      <c r="D2149" s="625"/>
      <c r="E2149" s="639"/>
    </row>
    <row r="2150" spans="1:5" ht="21" hidden="1" x14ac:dyDescent="0.25">
      <c r="A2150" s="605" t="s">
        <v>84</v>
      </c>
      <c r="B2150" s="604" t="s">
        <v>372</v>
      </c>
      <c r="C2150" s="508" t="s">
        <v>292</v>
      </c>
      <c r="D2150" s="462"/>
      <c r="E2150" s="589">
        <f>ROUND(E2128+E2136+E2144+E2148+E2149, 2)</f>
        <v>8.1</v>
      </c>
    </row>
    <row r="2151" spans="1:5" hidden="1" x14ac:dyDescent="0.25">
      <c r="A2151" s="365" t="s">
        <v>85</v>
      </c>
      <c r="B2151" s="518" t="s">
        <v>86</v>
      </c>
      <c r="C2151" s="508" t="s">
        <v>373</v>
      </c>
      <c r="D2151" s="462"/>
      <c r="E2151" s="462">
        <v>0</v>
      </c>
    </row>
    <row r="2152" spans="1:5" hidden="1" x14ac:dyDescent="0.25">
      <c r="A2152" s="670" t="s">
        <v>87</v>
      </c>
      <c r="B2152" s="671" t="s">
        <v>88</v>
      </c>
      <c r="C2152" s="508" t="s">
        <v>292</v>
      </c>
      <c r="D2152" s="499"/>
      <c r="E2152" s="540">
        <f>E2150</f>
        <v>8.1</v>
      </c>
    </row>
    <row r="2153" spans="1:5" hidden="1" x14ac:dyDescent="0.25">
      <c r="A2153" s="672" t="s">
        <v>89</v>
      </c>
      <c r="B2153" s="671" t="s">
        <v>429</v>
      </c>
      <c r="C2153" s="508" t="s">
        <v>292</v>
      </c>
      <c r="D2153" s="499"/>
      <c r="E2153" s="538">
        <f>E2152*1.09</f>
        <v>8.8290000000000006</v>
      </c>
    </row>
    <row r="2154" spans="1:5" hidden="1" x14ac:dyDescent="0.25">
      <c r="A2154" s="672" t="s">
        <v>91</v>
      </c>
      <c r="B2154" s="671" t="s">
        <v>92</v>
      </c>
      <c r="C2154" s="508" t="s">
        <v>292</v>
      </c>
      <c r="D2154" s="499"/>
      <c r="E2154" s="668">
        <v>7.72</v>
      </c>
    </row>
    <row r="2155" spans="1:5" hidden="1" x14ac:dyDescent="0.25">
      <c r="A2155" s="475" t="s">
        <v>93</v>
      </c>
      <c r="B2155" s="476" t="s">
        <v>374</v>
      </c>
      <c r="C2155" s="517" t="s">
        <v>95</v>
      </c>
      <c r="D2155" s="499"/>
      <c r="E2155" s="668">
        <f>(E2150/E2154)*100-100</f>
        <v>4.9222797927461102</v>
      </c>
    </row>
    <row r="2156" spans="1:5" hidden="1" x14ac:dyDescent="0.25">
      <c r="A2156" s="494" t="s">
        <v>96</v>
      </c>
      <c r="B2156" s="477" t="s">
        <v>97</v>
      </c>
      <c r="C2156" s="130" t="s">
        <v>375</v>
      </c>
      <c r="D2156" s="500"/>
      <c r="E2156" s="666">
        <v>1092</v>
      </c>
    </row>
    <row r="2157" spans="1:5" hidden="1" x14ac:dyDescent="0.25">
      <c r="A2157" s="494" t="s">
        <v>99</v>
      </c>
      <c r="B2157" s="477" t="s">
        <v>376</v>
      </c>
      <c r="C2157" s="130" t="s">
        <v>375</v>
      </c>
      <c r="D2157" s="462"/>
      <c r="E2157" s="666">
        <v>1092</v>
      </c>
    </row>
    <row r="2158" spans="1:5" hidden="1" x14ac:dyDescent="0.25">
      <c r="A2158" s="478" t="s">
        <v>101</v>
      </c>
      <c r="B2158" s="477" t="s">
        <v>377</v>
      </c>
      <c r="C2158" s="130" t="s">
        <v>375</v>
      </c>
      <c r="D2158" s="501"/>
      <c r="E2158" s="667">
        <v>740.70600000000002</v>
      </c>
    </row>
    <row r="2159" spans="1:5" hidden="1" x14ac:dyDescent="0.25">
      <c r="A2159" s="478">
        <v>14</v>
      </c>
      <c r="B2159" s="477" t="s">
        <v>378</v>
      </c>
      <c r="C2159" s="125" t="s">
        <v>375</v>
      </c>
      <c r="D2159" s="462"/>
      <c r="E2159" s="462">
        <v>0</v>
      </c>
    </row>
    <row r="2160" spans="1:5" hidden="1" x14ac:dyDescent="0.25">
      <c r="B2160" s="643" t="s">
        <v>411</v>
      </c>
    </row>
    <row r="2161" spans="1:6" hidden="1" x14ac:dyDescent="0.25">
      <c r="B2161" s="698" t="s">
        <v>428</v>
      </c>
    </row>
    <row r="2162" spans="1:6" hidden="1" x14ac:dyDescent="0.25"/>
    <row r="2163" spans="1:6" hidden="1" x14ac:dyDescent="0.25">
      <c r="B2163" t="s">
        <v>189</v>
      </c>
      <c r="C2163" t="s">
        <v>193</v>
      </c>
      <c r="D2163" s="146" t="s">
        <v>190</v>
      </c>
    </row>
    <row r="2164" spans="1:6" hidden="1" x14ac:dyDescent="0.25">
      <c r="C2164" s="153" t="s">
        <v>194</v>
      </c>
    </row>
    <row r="2165" spans="1:6" hidden="1" x14ac:dyDescent="0.25">
      <c r="C2165" s="153"/>
    </row>
    <row r="2166" spans="1:6" hidden="1" x14ac:dyDescent="0.25">
      <c r="C2166" s="153"/>
    </row>
    <row r="2167" spans="1:6" hidden="1" x14ac:dyDescent="0.25"/>
    <row r="2168" spans="1:6" s="463" customFormat="1" ht="12.75" hidden="1" x14ac:dyDescent="0.2">
      <c r="D2168" s="592" t="s">
        <v>332</v>
      </c>
      <c r="E2168" s="592"/>
      <c r="F2168" s="486"/>
    </row>
    <row r="2169" spans="1:6" s="463" customFormat="1" ht="12.75" hidden="1" x14ac:dyDescent="0.2">
      <c r="D2169" s="851" t="s">
        <v>333</v>
      </c>
      <c r="E2169" s="851"/>
      <c r="F2169" s="479"/>
    </row>
    <row r="2170" spans="1:6" s="463" customFormat="1" ht="12.75" hidden="1" x14ac:dyDescent="0.2">
      <c r="D2170" s="851" t="s">
        <v>334</v>
      </c>
      <c r="E2170" s="851"/>
      <c r="F2170" s="479"/>
    </row>
    <row r="2171" spans="1:6" s="463" customFormat="1" ht="12.75" hidden="1" x14ac:dyDescent="0.2">
      <c r="D2171" s="689" t="s">
        <v>343</v>
      </c>
      <c r="E2171" s="520"/>
      <c r="F2171" s="480"/>
    </row>
    <row r="2172" spans="1:6" s="463" customFormat="1" ht="11.25" hidden="1" x14ac:dyDescent="0.2"/>
    <row r="2173" spans="1:6" s="463" customFormat="1" ht="12" hidden="1" x14ac:dyDescent="0.2">
      <c r="A2173" s="481"/>
      <c r="B2173" s="465" t="s">
        <v>335</v>
      </c>
      <c r="C2173" s="464"/>
      <c r="D2173" s="465" t="s">
        <v>336</v>
      </c>
      <c r="E2173" s="484"/>
      <c r="F2173" s="484"/>
    </row>
    <row r="2174" spans="1:6" s="463" customFormat="1" ht="12" hidden="1" x14ac:dyDescent="0.2">
      <c r="A2174" s="481"/>
      <c r="B2174" s="464" t="s">
        <v>337</v>
      </c>
      <c r="C2174" s="464"/>
      <c r="D2174" s="465" t="s">
        <v>338</v>
      </c>
      <c r="E2174" s="484"/>
      <c r="F2174" s="484"/>
    </row>
    <row r="2175" spans="1:6" s="463" customFormat="1" ht="12" hidden="1" x14ac:dyDescent="0.2">
      <c r="A2175" s="481"/>
      <c r="B2175" s="465" t="s">
        <v>379</v>
      </c>
      <c r="C2175" s="466"/>
      <c r="D2175" s="465" t="s">
        <v>339</v>
      </c>
      <c r="E2175" s="484"/>
      <c r="F2175" s="484"/>
    </row>
    <row r="2176" spans="1:6" s="463" customFormat="1" ht="12" hidden="1" x14ac:dyDescent="0.2">
      <c r="A2176" s="481"/>
      <c r="B2176" s="465" t="s">
        <v>380</v>
      </c>
      <c r="C2176" s="464"/>
      <c r="D2176" s="465" t="s">
        <v>385</v>
      </c>
      <c r="E2176" s="484"/>
      <c r="F2176" s="484"/>
    </row>
    <row r="2177" spans="1:6" s="463" customFormat="1" ht="12" hidden="1" x14ac:dyDescent="0.2">
      <c r="A2177" s="481"/>
      <c r="B2177" s="465" t="s">
        <v>381</v>
      </c>
      <c r="C2177" s="464"/>
      <c r="D2177" s="465" t="s">
        <v>382</v>
      </c>
      <c r="E2177" s="484"/>
      <c r="F2177" s="484"/>
    </row>
    <row r="2178" spans="1:6" s="463" customFormat="1" ht="12" hidden="1" x14ac:dyDescent="0.2">
      <c r="A2178" s="481"/>
      <c r="B2178" s="465" t="s">
        <v>382</v>
      </c>
      <c r="C2178" s="464"/>
      <c r="D2178" s="465" t="s">
        <v>386</v>
      </c>
      <c r="E2178" s="485"/>
      <c r="F2178" s="485"/>
    </row>
    <row r="2179" spans="1:6" s="463" customFormat="1" ht="12" hidden="1" x14ac:dyDescent="0.2">
      <c r="A2179" s="481"/>
      <c r="B2179" s="465" t="s">
        <v>383</v>
      </c>
      <c r="C2179" s="467"/>
      <c r="D2179" s="465"/>
      <c r="E2179" s="484"/>
      <c r="F2179" s="484"/>
    </row>
    <row r="2180" spans="1:6" s="463" customFormat="1" ht="12" hidden="1" x14ac:dyDescent="0.2">
      <c r="A2180" s="481"/>
      <c r="B2180" s="465" t="s">
        <v>384</v>
      </c>
      <c r="C2180" s="467"/>
      <c r="D2180" s="465"/>
      <c r="E2180" s="484"/>
      <c r="F2180" s="484"/>
    </row>
    <row r="2181" spans="1:6" hidden="1" x14ac:dyDescent="0.25">
      <c r="A2181" s="152"/>
      <c r="B2181" s="132"/>
      <c r="C2181" s="132"/>
      <c r="D2181" s="132"/>
      <c r="E2181" s="519"/>
    </row>
    <row r="2182" spans="1:6" ht="15.75" hidden="1" x14ac:dyDescent="0.25">
      <c r="A2182" s="141" t="s">
        <v>296</v>
      </c>
      <c r="B2182" s="141" t="s">
        <v>433</v>
      </c>
      <c r="C2182" s="2"/>
      <c r="D2182" s="2"/>
    </row>
    <row r="2183" spans="1:6" ht="15.75" hidden="1" x14ac:dyDescent="0.25">
      <c r="A2183" s="141"/>
      <c r="B2183" s="141"/>
      <c r="C2183" s="629" t="s">
        <v>438</v>
      </c>
      <c r="D2183" s="2"/>
    </row>
    <row r="2184" spans="1:6" ht="15.75" hidden="1" x14ac:dyDescent="0.25">
      <c r="A2184" s="141"/>
      <c r="B2184" s="141"/>
      <c r="C2184" s="505" t="s">
        <v>191</v>
      </c>
      <c r="D2184" s="2"/>
    </row>
    <row r="2185" spans="1:6" ht="15.75" hidden="1" x14ac:dyDescent="0.25">
      <c r="A2185" s="141"/>
      <c r="B2185" s="141"/>
      <c r="C2185" s="505"/>
      <c r="D2185" s="2"/>
    </row>
    <row r="2186" spans="1:6" hidden="1" x14ac:dyDescent="0.25">
      <c r="A2186" s="483" t="s">
        <v>6</v>
      </c>
      <c r="B2186" s="2"/>
      <c r="C2186" s="2"/>
      <c r="D2186" s="2"/>
      <c r="E2186" s="522"/>
    </row>
    <row r="2187" spans="1:6" hidden="1" x14ac:dyDescent="0.25">
      <c r="A2187" s="482" t="s">
        <v>340</v>
      </c>
      <c r="B2187" s="1"/>
      <c r="C2187" s="1"/>
      <c r="D2187" s="1"/>
      <c r="E2187" s="463"/>
    </row>
    <row r="2188" spans="1:6" hidden="1" x14ac:dyDescent="0.25">
      <c r="A2188" s="482"/>
      <c r="B2188" s="1"/>
      <c r="C2188" s="1"/>
      <c r="D2188" s="1"/>
      <c r="E2188" s="463"/>
    </row>
    <row r="2189" spans="1:6" hidden="1" x14ac:dyDescent="0.25">
      <c r="A2189" s="132" t="s">
        <v>7</v>
      </c>
      <c r="B2189" s="1"/>
      <c r="C2189" s="1"/>
      <c r="D2189" s="1"/>
      <c r="E2189" s="463"/>
    </row>
    <row r="2190" spans="1:6" hidden="1" x14ac:dyDescent="0.25">
      <c r="A2190" s="852" t="s">
        <v>434</v>
      </c>
      <c r="B2190" s="852"/>
      <c r="C2190" s="852"/>
      <c r="D2190" s="852"/>
      <c r="E2190" s="852"/>
    </row>
    <row r="2191" spans="1:6" hidden="1" x14ac:dyDescent="0.25">
      <c r="A2191" s="469" t="s">
        <v>8</v>
      </c>
      <c r="B2191" s="469" t="s">
        <v>9</v>
      </c>
      <c r="C2191" s="469" t="s">
        <v>10</v>
      </c>
      <c r="D2191" s="469" t="s">
        <v>11</v>
      </c>
      <c r="E2191" s="469" t="s">
        <v>12</v>
      </c>
    </row>
    <row r="2192" spans="1:6" hidden="1" x14ac:dyDescent="0.25">
      <c r="A2192" s="25">
        <v>1</v>
      </c>
      <c r="B2192" s="25">
        <v>2</v>
      </c>
      <c r="C2192" s="25">
        <v>3</v>
      </c>
      <c r="D2192" s="25">
        <v>4</v>
      </c>
      <c r="E2192" s="523">
        <v>5</v>
      </c>
    </row>
    <row r="2193" spans="1:5" hidden="1" x14ac:dyDescent="0.25">
      <c r="A2193" s="487" t="s">
        <v>13</v>
      </c>
      <c r="B2193" s="468" t="s">
        <v>344</v>
      </c>
      <c r="C2193" s="442"/>
      <c r="D2193" s="442"/>
      <c r="E2193" s="580"/>
    </row>
    <row r="2194" spans="1:5" ht="21.75" hidden="1" x14ac:dyDescent="0.25">
      <c r="A2194" s="597" t="s">
        <v>15</v>
      </c>
      <c r="B2194" s="596" t="s">
        <v>347</v>
      </c>
      <c r="C2194" s="508" t="s">
        <v>292</v>
      </c>
      <c r="D2194" s="598" t="s">
        <v>349</v>
      </c>
      <c r="E2194" s="634">
        <f>E2195+E2196</f>
        <v>6.16</v>
      </c>
    </row>
    <row r="2195" spans="1:5" ht="16.5" hidden="1" x14ac:dyDescent="0.25">
      <c r="A2195" s="690" t="s">
        <v>16</v>
      </c>
      <c r="B2195" s="696" t="s">
        <v>346</v>
      </c>
      <c r="C2195" s="508" t="s">
        <v>292</v>
      </c>
      <c r="D2195" s="600" t="s">
        <v>350</v>
      </c>
      <c r="E2195" s="635">
        <v>1.44</v>
      </c>
    </row>
    <row r="2196" spans="1:5" ht="16.5" hidden="1" x14ac:dyDescent="0.25">
      <c r="A2196" s="853" t="s">
        <v>17</v>
      </c>
      <c r="B2196" s="696" t="s">
        <v>345</v>
      </c>
      <c r="C2196" s="508" t="s">
        <v>292</v>
      </c>
      <c r="D2196" s="631" t="s">
        <v>409</v>
      </c>
      <c r="E2196" s="636">
        <f>ROUND(0.09+((44951*E2202+226*E2210+106.1*E2206+509*E2214)/(44.84*1000))/10,2)</f>
        <v>4.72</v>
      </c>
    </row>
    <row r="2197" spans="1:5" ht="25.5" hidden="1" x14ac:dyDescent="0.25">
      <c r="A2197" s="853"/>
      <c r="B2197" s="509" t="s">
        <v>345</v>
      </c>
      <c r="C2197" s="640" t="s">
        <v>348</v>
      </c>
      <c r="D2197" s="510" t="s">
        <v>435</v>
      </c>
      <c r="E2197" s="581"/>
    </row>
    <row r="2198" spans="1:5" hidden="1" x14ac:dyDescent="0.25">
      <c r="A2198" s="488" t="s">
        <v>21</v>
      </c>
      <c r="B2198" s="337" t="s">
        <v>351</v>
      </c>
      <c r="C2198" s="31"/>
      <c r="D2198" s="337"/>
      <c r="E2198" s="529"/>
    </row>
    <row r="2199" spans="1:5" hidden="1" x14ac:dyDescent="0.25">
      <c r="A2199" s="47" t="s">
        <v>23</v>
      </c>
      <c r="B2199" s="506" t="s">
        <v>24</v>
      </c>
      <c r="C2199" s="49"/>
      <c r="D2199" s="49"/>
      <c r="E2199" s="530"/>
    </row>
    <row r="2200" spans="1:5" hidden="1" x14ac:dyDescent="0.25">
      <c r="A2200" s="25" t="s">
        <v>25</v>
      </c>
      <c r="B2200" s="24" t="s">
        <v>26</v>
      </c>
      <c r="C2200" s="628" t="s">
        <v>328</v>
      </c>
      <c r="D2200" s="24"/>
      <c r="E2200" s="582">
        <v>30.94</v>
      </c>
    </row>
    <row r="2201" spans="1:5" hidden="1" x14ac:dyDescent="0.25">
      <c r="A2201" s="25" t="s">
        <v>27</v>
      </c>
      <c r="B2201" s="24" t="s">
        <v>28</v>
      </c>
      <c r="C2201" s="616" t="s">
        <v>328</v>
      </c>
      <c r="D2201" s="24"/>
      <c r="E2201" s="583">
        <v>12.56</v>
      </c>
    </row>
    <row r="2202" spans="1:5" hidden="1" x14ac:dyDescent="0.25">
      <c r="A2202" s="25" t="s">
        <v>29</v>
      </c>
      <c r="B2202" s="38" t="s">
        <v>30</v>
      </c>
      <c r="C2202" s="616" t="s">
        <v>328</v>
      </c>
      <c r="D2202" s="24"/>
      <c r="E2202" s="584">
        <f>E2200+E2201</f>
        <v>43.5</v>
      </c>
    </row>
    <row r="2203" spans="1:5" hidden="1" x14ac:dyDescent="0.25">
      <c r="A2203" s="36" t="s">
        <v>31</v>
      </c>
      <c r="B2203" s="41" t="s">
        <v>265</v>
      </c>
      <c r="C2203" s="42"/>
      <c r="D2203" s="42"/>
      <c r="E2203" s="531"/>
    </row>
    <row r="2204" spans="1:5" hidden="1" x14ac:dyDescent="0.25">
      <c r="A2204" s="25" t="s">
        <v>35</v>
      </c>
      <c r="B2204" s="24" t="s">
        <v>26</v>
      </c>
      <c r="C2204" s="617" t="s">
        <v>399</v>
      </c>
      <c r="D2204" s="24"/>
      <c r="E2204" s="532"/>
    </row>
    <row r="2205" spans="1:5" hidden="1" x14ac:dyDescent="0.25">
      <c r="A2205" s="25" t="s">
        <v>36</v>
      </c>
      <c r="B2205" s="24" t="s">
        <v>28</v>
      </c>
      <c r="C2205" s="618" t="s">
        <v>399</v>
      </c>
      <c r="D2205" s="24"/>
      <c r="E2205" s="532"/>
    </row>
    <row r="2206" spans="1:5" hidden="1" x14ac:dyDescent="0.25">
      <c r="A2206" s="25" t="s">
        <v>37</v>
      </c>
      <c r="B2206" s="24" t="s">
        <v>30</v>
      </c>
      <c r="C2206" s="618" t="s">
        <v>399</v>
      </c>
      <c r="D2206" s="24"/>
      <c r="E2206" s="708">
        <v>108.68</v>
      </c>
    </row>
    <row r="2207" spans="1:5" hidden="1" x14ac:dyDescent="0.25">
      <c r="A2207" s="36" t="s">
        <v>34</v>
      </c>
      <c r="B2207" s="41" t="s">
        <v>266</v>
      </c>
      <c r="C2207" s="420"/>
      <c r="D2207" s="42"/>
      <c r="E2207" s="531"/>
    </row>
    <row r="2208" spans="1:5" hidden="1" x14ac:dyDescent="0.25">
      <c r="A2208" s="25" t="s">
        <v>38</v>
      </c>
      <c r="B2208" s="24" t="s">
        <v>26</v>
      </c>
      <c r="C2208" s="618" t="s">
        <v>399</v>
      </c>
      <c r="D2208" s="24"/>
      <c r="E2208" s="532">
        <v>79.930000000000007</v>
      </c>
    </row>
    <row r="2209" spans="1:5" hidden="1" x14ac:dyDescent="0.25">
      <c r="A2209" s="25" t="s">
        <v>39</v>
      </c>
      <c r="B2209" s="24" t="s">
        <v>28</v>
      </c>
      <c r="C2209" s="618" t="s">
        <v>399</v>
      </c>
      <c r="D2209" s="24"/>
      <c r="E2209" s="532">
        <v>22.52</v>
      </c>
    </row>
    <row r="2210" spans="1:5" hidden="1" x14ac:dyDescent="0.25">
      <c r="A2210" s="25" t="s">
        <v>40</v>
      </c>
      <c r="B2210" s="24" t="s">
        <v>30</v>
      </c>
      <c r="C2210" s="618" t="s">
        <v>399</v>
      </c>
      <c r="D2210" s="24"/>
      <c r="E2210" s="584">
        <f>+E2208+E2209</f>
        <v>102.45</v>
      </c>
    </row>
    <row r="2211" spans="1:5" hidden="1" x14ac:dyDescent="0.25">
      <c r="A2211" s="37" t="s">
        <v>352</v>
      </c>
      <c r="B2211" s="45" t="s">
        <v>103</v>
      </c>
      <c r="C2211" s="46"/>
      <c r="D2211" s="46"/>
      <c r="E2211" s="533"/>
    </row>
    <row r="2212" spans="1:5" hidden="1" x14ac:dyDescent="0.25">
      <c r="A2212" s="29" t="s">
        <v>353</v>
      </c>
      <c r="B2212" s="44" t="s">
        <v>26</v>
      </c>
      <c r="C2212" s="618" t="s">
        <v>399</v>
      </c>
      <c r="D2212" s="24"/>
      <c r="E2212" s="532">
        <v>151.41</v>
      </c>
    </row>
    <row r="2213" spans="1:5" hidden="1" x14ac:dyDescent="0.25">
      <c r="A2213" s="29" t="s">
        <v>354</v>
      </c>
      <c r="B2213" s="24" t="s">
        <v>28</v>
      </c>
      <c r="C2213" s="618" t="s">
        <v>399</v>
      </c>
      <c r="D2213" s="24"/>
      <c r="E2213" s="524">
        <v>14.25</v>
      </c>
    </row>
    <row r="2214" spans="1:5" hidden="1" x14ac:dyDescent="0.25">
      <c r="A2214" s="489" t="s">
        <v>355</v>
      </c>
      <c r="B2214" s="38" t="s">
        <v>30</v>
      </c>
      <c r="C2214" s="618" t="s">
        <v>399</v>
      </c>
      <c r="D2214" s="24"/>
      <c r="E2214" s="584">
        <f>+E2212+E2213</f>
        <v>165.66</v>
      </c>
    </row>
    <row r="2215" spans="1:5" hidden="1" x14ac:dyDescent="0.25">
      <c r="A2215" s="490" t="s">
        <v>42</v>
      </c>
      <c r="B2215" s="471" t="s">
        <v>356</v>
      </c>
      <c r="C2215" s="52"/>
      <c r="D2215" s="52"/>
      <c r="E2215" s="534"/>
    </row>
    <row r="2216" spans="1:5" hidden="1" x14ac:dyDescent="0.25">
      <c r="A2216" s="25" t="s">
        <v>44</v>
      </c>
      <c r="B2216" s="24" t="s">
        <v>357</v>
      </c>
      <c r="C2216" s="24"/>
      <c r="D2216" s="24"/>
      <c r="E2216" s="523" t="s">
        <v>106</v>
      </c>
    </row>
    <row r="2217" spans="1:5" hidden="1" x14ac:dyDescent="0.25">
      <c r="A2217" s="25" t="s">
        <v>45</v>
      </c>
      <c r="B2217" s="24" t="s">
        <v>358</v>
      </c>
      <c r="C2217" s="508" t="s">
        <v>292</v>
      </c>
      <c r="D2217" s="24"/>
      <c r="E2217" s="524">
        <v>0</v>
      </c>
    </row>
    <row r="2218" spans="1:5" ht="22.5" hidden="1" x14ac:dyDescent="0.25">
      <c r="A2218" s="491" t="s">
        <v>46</v>
      </c>
      <c r="B2218" s="503" t="s">
        <v>359</v>
      </c>
      <c r="C2218" s="508" t="s">
        <v>292</v>
      </c>
      <c r="D2218" s="495" t="s">
        <v>387</v>
      </c>
      <c r="E2218" s="637">
        <f>E2219+E2220</f>
        <v>6.16</v>
      </c>
    </row>
    <row r="2219" spans="1:5" ht="16.5" hidden="1" x14ac:dyDescent="0.25">
      <c r="A2219" s="25" t="s">
        <v>48</v>
      </c>
      <c r="B2219" s="24" t="s">
        <v>49</v>
      </c>
      <c r="C2219" s="508" t="s">
        <v>292</v>
      </c>
      <c r="D2219" s="600" t="s">
        <v>388</v>
      </c>
      <c r="E2219" s="532">
        <f>E2195</f>
        <v>1.44</v>
      </c>
    </row>
    <row r="2220" spans="1:5" ht="16.5" hidden="1" x14ac:dyDescent="0.25">
      <c r="A2220" s="854" t="s">
        <v>50</v>
      </c>
      <c r="B2220" s="472" t="s">
        <v>51</v>
      </c>
      <c r="C2220" s="511" t="s">
        <v>292</v>
      </c>
      <c r="D2220" s="600" t="s">
        <v>389</v>
      </c>
      <c r="E2220" s="536">
        <f>E2196</f>
        <v>4.72</v>
      </c>
    </row>
    <row r="2221" spans="1:5" ht="25.5" hidden="1" x14ac:dyDescent="0.25">
      <c r="A2221" s="855"/>
      <c r="B2221" s="509" t="s">
        <v>51</v>
      </c>
      <c r="C2221" s="512" t="s">
        <v>348</v>
      </c>
      <c r="D2221" s="510" t="s">
        <v>435</v>
      </c>
      <c r="E2221" s="585"/>
    </row>
    <row r="2222" spans="1:5" hidden="1" x14ac:dyDescent="0.25">
      <c r="A2222" s="25" t="s">
        <v>52</v>
      </c>
      <c r="B2222" s="492" t="s">
        <v>360</v>
      </c>
      <c r="C2222" s="33"/>
      <c r="D2222" s="33"/>
      <c r="E2222" s="529"/>
    </row>
    <row r="2223" spans="1:5" ht="18.75" hidden="1" x14ac:dyDescent="0.3">
      <c r="A2223" s="25" t="s">
        <v>54</v>
      </c>
      <c r="B2223" s="24" t="s">
        <v>361</v>
      </c>
      <c r="C2223" s="11" t="s">
        <v>362</v>
      </c>
      <c r="D2223" s="497" t="s">
        <v>390</v>
      </c>
      <c r="E2223" s="524">
        <v>10.54</v>
      </c>
    </row>
    <row r="2224" spans="1:5" ht="16.5" hidden="1" x14ac:dyDescent="0.3">
      <c r="A2224" s="25" t="s">
        <v>57</v>
      </c>
      <c r="B2224" s="24" t="s">
        <v>58</v>
      </c>
      <c r="C2224" s="508" t="s">
        <v>292</v>
      </c>
      <c r="D2224" s="498" t="s">
        <v>389</v>
      </c>
      <c r="E2224" s="532">
        <f>E2220</f>
        <v>4.72</v>
      </c>
    </row>
    <row r="2225" spans="1:5" hidden="1" x14ac:dyDescent="0.25">
      <c r="A2225" s="34" t="s">
        <v>60</v>
      </c>
      <c r="B2225" s="504" t="s">
        <v>61</v>
      </c>
      <c r="C2225" s="502"/>
      <c r="D2225" s="502"/>
      <c r="E2225" s="586"/>
    </row>
    <row r="2226" spans="1:5" ht="16.5" hidden="1" x14ac:dyDescent="0.25">
      <c r="A2226" s="602" t="s">
        <v>62</v>
      </c>
      <c r="B2226" s="601" t="s">
        <v>363</v>
      </c>
      <c r="C2226" s="508" t="s">
        <v>292</v>
      </c>
      <c r="D2226" s="600" t="s">
        <v>391</v>
      </c>
      <c r="E2226" s="638">
        <f>E2227+E2228</f>
        <v>2.096127659574468</v>
      </c>
    </row>
    <row r="2227" spans="1:5" ht="16.5" hidden="1" x14ac:dyDescent="0.25">
      <c r="A2227" s="27" t="s">
        <v>63</v>
      </c>
      <c r="B2227" s="642" t="s">
        <v>64</v>
      </c>
      <c r="C2227" s="508" t="s">
        <v>292</v>
      </c>
      <c r="D2227" s="600" t="s">
        <v>392</v>
      </c>
      <c r="E2227" s="529">
        <v>0.79</v>
      </c>
    </row>
    <row r="2228" spans="1:5" ht="16.5" hidden="1" x14ac:dyDescent="0.25">
      <c r="A2228" s="856" t="s">
        <v>65</v>
      </c>
      <c r="B2228" s="603" t="s">
        <v>66</v>
      </c>
      <c r="C2228" s="508" t="s">
        <v>292</v>
      </c>
      <c r="D2228" s="630" t="s">
        <v>408</v>
      </c>
      <c r="E2228" s="514">
        <f>0.12+(7.24*E2194)/37.6</f>
        <v>1.306127659574468</v>
      </c>
    </row>
    <row r="2229" spans="1:5" hidden="1" x14ac:dyDescent="0.25">
      <c r="A2229" s="857"/>
      <c r="B2229" s="619" t="s">
        <v>66</v>
      </c>
      <c r="C2229" s="513" t="s">
        <v>348</v>
      </c>
      <c r="D2229" s="641" t="s">
        <v>436</v>
      </c>
      <c r="E2229" s="587"/>
    </row>
    <row r="2230" spans="1:5" hidden="1" x14ac:dyDescent="0.25">
      <c r="A2230" s="470" t="s">
        <v>67</v>
      </c>
      <c r="B2230" s="473" t="s">
        <v>364</v>
      </c>
      <c r="C2230" s="9"/>
      <c r="D2230" s="24"/>
      <c r="E2230" s="524"/>
    </row>
    <row r="2231" spans="1:5" ht="18.75" hidden="1" x14ac:dyDescent="0.3">
      <c r="A2231" s="470" t="s">
        <v>69</v>
      </c>
      <c r="B2231" s="473" t="s">
        <v>361</v>
      </c>
      <c r="C2231" s="515" t="s">
        <v>362</v>
      </c>
      <c r="D2231" s="497" t="s">
        <v>393</v>
      </c>
      <c r="E2231" s="532">
        <v>5.24</v>
      </c>
    </row>
    <row r="2232" spans="1:5" ht="16.5" hidden="1" x14ac:dyDescent="0.3">
      <c r="A2232" s="470" t="s">
        <v>70</v>
      </c>
      <c r="B2232" s="473" t="s">
        <v>365</v>
      </c>
      <c r="C2232" s="508" t="s">
        <v>292</v>
      </c>
      <c r="D2232" s="498" t="s">
        <v>394</v>
      </c>
      <c r="E2232" s="532">
        <f>E2228</f>
        <v>1.306127659574468</v>
      </c>
    </row>
    <row r="2233" spans="1:5" hidden="1" x14ac:dyDescent="0.25">
      <c r="A2233" s="126" t="s">
        <v>72</v>
      </c>
      <c r="B2233" s="504" t="s">
        <v>366</v>
      </c>
      <c r="C2233" s="516"/>
      <c r="D2233" s="502"/>
      <c r="E2233" s="586"/>
    </row>
    <row r="2234" spans="1:5" ht="16.5" hidden="1" x14ac:dyDescent="0.3">
      <c r="A2234" s="474" t="s">
        <v>79</v>
      </c>
      <c r="B2234" s="473" t="s">
        <v>367</v>
      </c>
      <c r="C2234" s="508" t="s">
        <v>292</v>
      </c>
      <c r="D2234" s="497" t="s">
        <v>370</v>
      </c>
      <c r="E2234" s="637">
        <v>0.1</v>
      </c>
    </row>
    <row r="2235" spans="1:5" ht="18.75" hidden="1" x14ac:dyDescent="0.3">
      <c r="A2235" s="474" t="s">
        <v>368</v>
      </c>
      <c r="B2235" s="626" t="s">
        <v>400</v>
      </c>
      <c r="C2235" s="627" t="s">
        <v>401</v>
      </c>
      <c r="D2235" s="621" t="s">
        <v>403</v>
      </c>
      <c r="E2235" s="462">
        <v>14.96</v>
      </c>
    </row>
    <row r="2236" spans="1:5" ht="18.75" hidden="1" x14ac:dyDescent="0.3">
      <c r="A2236" s="474" t="s">
        <v>369</v>
      </c>
      <c r="B2236" s="626" t="s">
        <v>402</v>
      </c>
      <c r="C2236" s="627" t="s">
        <v>401</v>
      </c>
      <c r="D2236" s="620" t="s">
        <v>404</v>
      </c>
      <c r="E2236" s="462">
        <v>0.75</v>
      </c>
    </row>
    <row r="2237" spans="1:5" ht="33" hidden="1" x14ac:dyDescent="0.25">
      <c r="A2237" s="493" t="s">
        <v>115</v>
      </c>
      <c r="B2237" s="622" t="s">
        <v>371</v>
      </c>
      <c r="C2237" s="623"/>
      <c r="D2237" s="624"/>
      <c r="E2237" s="623"/>
    </row>
    <row r="2238" spans="1:5" hidden="1" x14ac:dyDescent="0.25">
      <c r="A2238" s="494" t="s">
        <v>80</v>
      </c>
      <c r="B2238" s="477" t="s">
        <v>81</v>
      </c>
      <c r="C2238" s="508" t="s">
        <v>292</v>
      </c>
      <c r="D2238" s="625"/>
      <c r="E2238" s="639">
        <v>-0.02</v>
      </c>
    </row>
    <row r="2239" spans="1:5" hidden="1" x14ac:dyDescent="0.25">
      <c r="A2239" s="494" t="s">
        <v>82</v>
      </c>
      <c r="B2239" s="477" t="s">
        <v>83</v>
      </c>
      <c r="C2239" s="508" t="s">
        <v>292</v>
      </c>
      <c r="D2239" s="625"/>
      <c r="E2239" s="639">
        <v>-0.01</v>
      </c>
    </row>
    <row r="2240" spans="1:5" ht="21" hidden="1" x14ac:dyDescent="0.25">
      <c r="A2240" s="605" t="s">
        <v>84</v>
      </c>
      <c r="B2240" s="604" t="s">
        <v>372</v>
      </c>
      <c r="C2240" s="508" t="s">
        <v>292</v>
      </c>
      <c r="D2240" s="462"/>
      <c r="E2240" s="589">
        <f>ROUND(E2218+E2226+E2234+E2238+E2239, 2)</f>
        <v>8.33</v>
      </c>
    </row>
    <row r="2241" spans="1:6" hidden="1" x14ac:dyDescent="0.25">
      <c r="A2241" s="365" t="s">
        <v>85</v>
      </c>
      <c r="B2241" s="518" t="s">
        <v>86</v>
      </c>
      <c r="C2241" s="508" t="s">
        <v>373</v>
      </c>
      <c r="D2241" s="462"/>
      <c r="E2241" s="462">
        <v>0</v>
      </c>
    </row>
    <row r="2242" spans="1:6" hidden="1" x14ac:dyDescent="0.25">
      <c r="A2242" s="670" t="s">
        <v>87</v>
      </c>
      <c r="B2242" s="671" t="s">
        <v>88</v>
      </c>
      <c r="C2242" s="508" t="s">
        <v>292</v>
      </c>
      <c r="D2242" s="499"/>
      <c r="E2242" s="540">
        <f>E2240</f>
        <v>8.33</v>
      </c>
    </row>
    <row r="2243" spans="1:6" hidden="1" x14ac:dyDescent="0.25">
      <c r="A2243" s="672" t="s">
        <v>89</v>
      </c>
      <c r="B2243" s="671" t="s">
        <v>429</v>
      </c>
      <c r="C2243" s="508" t="s">
        <v>292</v>
      </c>
      <c r="D2243" s="499"/>
      <c r="E2243" s="538">
        <f>E2242*1.09</f>
        <v>9.0797000000000008</v>
      </c>
    </row>
    <row r="2244" spans="1:6" hidden="1" x14ac:dyDescent="0.25">
      <c r="A2244" s="672" t="s">
        <v>91</v>
      </c>
      <c r="B2244" s="671" t="s">
        <v>92</v>
      </c>
      <c r="C2244" s="508" t="s">
        <v>292</v>
      </c>
      <c r="D2244" s="499"/>
      <c r="E2244" s="709">
        <v>8.1</v>
      </c>
    </row>
    <row r="2245" spans="1:6" hidden="1" x14ac:dyDescent="0.25">
      <c r="A2245" s="475" t="s">
        <v>93</v>
      </c>
      <c r="B2245" s="476" t="s">
        <v>374</v>
      </c>
      <c r="C2245" s="517" t="s">
        <v>95</v>
      </c>
      <c r="D2245" s="499"/>
      <c r="E2245" s="668">
        <f>(E2240/E2244)*100-100</f>
        <v>2.8395061728395063</v>
      </c>
    </row>
    <row r="2246" spans="1:6" hidden="1" x14ac:dyDescent="0.25">
      <c r="A2246" s="494" t="s">
        <v>96</v>
      </c>
      <c r="B2246" s="477" t="s">
        <v>97</v>
      </c>
      <c r="C2246" s="130" t="s">
        <v>375</v>
      </c>
      <c r="D2246" s="500"/>
      <c r="E2246" s="666">
        <v>962</v>
      </c>
    </row>
    <row r="2247" spans="1:6" hidden="1" x14ac:dyDescent="0.25">
      <c r="A2247" s="494" t="s">
        <v>99</v>
      </c>
      <c r="B2247" s="477" t="s">
        <v>376</v>
      </c>
      <c r="C2247" s="130" t="s">
        <v>375</v>
      </c>
      <c r="D2247" s="462"/>
      <c r="E2247" s="666">
        <v>962</v>
      </c>
    </row>
    <row r="2248" spans="1:6" hidden="1" x14ac:dyDescent="0.25">
      <c r="A2248" s="478" t="s">
        <v>101</v>
      </c>
      <c r="B2248" s="477" t="s">
        <v>377</v>
      </c>
      <c r="C2248" s="130" t="s">
        <v>375</v>
      </c>
      <c r="D2248" s="501"/>
      <c r="E2248" s="667">
        <v>731.80899999999997</v>
      </c>
    </row>
    <row r="2249" spans="1:6" hidden="1" x14ac:dyDescent="0.25">
      <c r="A2249" s="478">
        <v>14</v>
      </c>
      <c r="B2249" s="477" t="s">
        <v>378</v>
      </c>
      <c r="C2249" s="125" t="s">
        <v>375</v>
      </c>
      <c r="D2249" s="462"/>
      <c r="E2249" s="462">
        <v>0</v>
      </c>
    </row>
    <row r="2250" spans="1:6" hidden="1" x14ac:dyDescent="0.25">
      <c r="B2250" s="643"/>
    </row>
    <row r="2251" spans="1:6" hidden="1" x14ac:dyDescent="0.25"/>
    <row r="2252" spans="1:6" hidden="1" x14ac:dyDescent="0.25">
      <c r="B2252" t="s">
        <v>189</v>
      </c>
      <c r="C2252" t="s">
        <v>193</v>
      </c>
      <c r="D2252" s="146" t="s">
        <v>190</v>
      </c>
    </row>
    <row r="2253" spans="1:6" hidden="1" x14ac:dyDescent="0.25">
      <c r="C2253" s="153" t="s">
        <v>194</v>
      </c>
    </row>
    <row r="2254" spans="1:6" hidden="1" x14ac:dyDescent="0.25"/>
    <row r="2255" spans="1:6" s="463" customFormat="1" ht="12.75" hidden="1" x14ac:dyDescent="0.2">
      <c r="D2255" s="592" t="s">
        <v>332</v>
      </c>
      <c r="E2255" s="592"/>
      <c r="F2255" s="486"/>
    </row>
    <row r="2256" spans="1:6" s="463" customFormat="1" ht="12.75" hidden="1" x14ac:dyDescent="0.2">
      <c r="D2256" s="851" t="s">
        <v>333</v>
      </c>
      <c r="E2256" s="851"/>
      <c r="F2256" s="479"/>
    </row>
    <row r="2257" spans="1:6" s="463" customFormat="1" ht="12.75" hidden="1" x14ac:dyDescent="0.2">
      <c r="D2257" s="851" t="s">
        <v>334</v>
      </c>
      <c r="E2257" s="851"/>
      <c r="F2257" s="479"/>
    </row>
    <row r="2258" spans="1:6" s="463" customFormat="1" ht="12.75" hidden="1" x14ac:dyDescent="0.2">
      <c r="D2258" s="699" t="s">
        <v>343</v>
      </c>
      <c r="E2258" s="520"/>
      <c r="F2258" s="480"/>
    </row>
    <row r="2259" spans="1:6" s="463" customFormat="1" ht="11.25" hidden="1" x14ac:dyDescent="0.2"/>
    <row r="2260" spans="1:6" s="463" customFormat="1" ht="12" hidden="1" x14ac:dyDescent="0.2">
      <c r="A2260" s="481"/>
      <c r="B2260" s="465" t="s">
        <v>335</v>
      </c>
      <c r="C2260" s="464"/>
      <c r="D2260" s="465" t="s">
        <v>336</v>
      </c>
      <c r="E2260" s="484"/>
      <c r="F2260" s="484"/>
    </row>
    <row r="2261" spans="1:6" s="463" customFormat="1" ht="12" hidden="1" x14ac:dyDescent="0.2">
      <c r="A2261" s="481"/>
      <c r="B2261" s="464" t="s">
        <v>337</v>
      </c>
      <c r="C2261" s="464"/>
      <c r="D2261" s="465" t="s">
        <v>338</v>
      </c>
      <c r="E2261" s="484"/>
      <c r="F2261" s="484"/>
    </row>
    <row r="2262" spans="1:6" s="463" customFormat="1" ht="12" hidden="1" x14ac:dyDescent="0.2">
      <c r="A2262" s="481"/>
      <c r="B2262" s="465" t="s">
        <v>379</v>
      </c>
      <c r="C2262" s="466"/>
      <c r="D2262" s="465" t="s">
        <v>339</v>
      </c>
      <c r="E2262" s="484"/>
      <c r="F2262" s="484"/>
    </row>
    <row r="2263" spans="1:6" s="463" customFormat="1" ht="12" hidden="1" x14ac:dyDescent="0.2">
      <c r="A2263" s="481"/>
      <c r="B2263" s="465" t="s">
        <v>380</v>
      </c>
      <c r="C2263" s="464"/>
      <c r="D2263" s="465" t="s">
        <v>385</v>
      </c>
      <c r="E2263" s="484"/>
      <c r="F2263" s="484"/>
    </row>
    <row r="2264" spans="1:6" s="463" customFormat="1" ht="12" hidden="1" x14ac:dyDescent="0.2">
      <c r="A2264" s="481"/>
      <c r="B2264" s="465" t="s">
        <v>381</v>
      </c>
      <c r="C2264" s="464"/>
      <c r="D2264" s="465" t="s">
        <v>382</v>
      </c>
      <c r="E2264" s="484"/>
      <c r="F2264" s="484"/>
    </row>
    <row r="2265" spans="1:6" s="463" customFormat="1" ht="12" hidden="1" x14ac:dyDescent="0.2">
      <c r="A2265" s="481"/>
      <c r="B2265" s="465" t="s">
        <v>382</v>
      </c>
      <c r="C2265" s="464"/>
      <c r="D2265" s="465" t="s">
        <v>386</v>
      </c>
      <c r="E2265" s="485"/>
      <c r="F2265" s="485"/>
    </row>
    <row r="2266" spans="1:6" s="463" customFormat="1" ht="12" hidden="1" x14ac:dyDescent="0.2">
      <c r="A2266" s="481"/>
      <c r="B2266" s="465" t="s">
        <v>383</v>
      </c>
      <c r="C2266" s="467"/>
      <c r="D2266" s="465"/>
      <c r="E2266" s="484"/>
      <c r="F2266" s="484"/>
    </row>
    <row r="2267" spans="1:6" s="463" customFormat="1" ht="12" hidden="1" x14ac:dyDescent="0.2">
      <c r="A2267" s="481"/>
      <c r="B2267" s="465" t="s">
        <v>384</v>
      </c>
      <c r="C2267" s="467"/>
      <c r="D2267" s="465"/>
      <c r="E2267" s="484"/>
      <c r="F2267" s="484"/>
    </row>
    <row r="2268" spans="1:6" hidden="1" x14ac:dyDescent="0.25">
      <c r="A2268" s="152"/>
      <c r="B2268" s="132"/>
      <c r="C2268" s="132"/>
      <c r="D2268" s="132"/>
      <c r="E2268" s="519"/>
    </row>
    <row r="2269" spans="1:6" ht="15.75" hidden="1" x14ac:dyDescent="0.25">
      <c r="A2269" s="141" t="s">
        <v>296</v>
      </c>
      <c r="B2269" s="141" t="s">
        <v>439</v>
      </c>
      <c r="C2269" s="2"/>
      <c r="D2269" s="2"/>
    </row>
    <row r="2270" spans="1:6" ht="15.75" hidden="1" x14ac:dyDescent="0.25">
      <c r="A2270" s="141"/>
      <c r="B2270" s="141"/>
      <c r="C2270" s="629" t="s">
        <v>440</v>
      </c>
      <c r="D2270" s="2"/>
    </row>
    <row r="2271" spans="1:6" ht="15.75" hidden="1" x14ac:dyDescent="0.25">
      <c r="A2271" s="141"/>
      <c r="B2271" s="141"/>
      <c r="C2271" s="505" t="s">
        <v>191</v>
      </c>
      <c r="D2271" s="2"/>
    </row>
    <row r="2272" spans="1:6" ht="15.75" hidden="1" x14ac:dyDescent="0.25">
      <c r="A2272" s="141"/>
      <c r="B2272" s="141"/>
      <c r="C2272" s="505"/>
      <c r="D2272" s="2"/>
    </row>
    <row r="2273" spans="1:5" hidden="1" x14ac:dyDescent="0.25">
      <c r="A2273" s="483" t="s">
        <v>6</v>
      </c>
      <c r="B2273" s="2"/>
      <c r="C2273" s="2"/>
      <c r="D2273" s="2"/>
      <c r="E2273" s="522"/>
    </row>
    <row r="2274" spans="1:5" hidden="1" x14ac:dyDescent="0.25">
      <c r="A2274" s="482" t="s">
        <v>340</v>
      </c>
      <c r="B2274" s="1"/>
      <c r="C2274" s="1"/>
      <c r="D2274" s="1"/>
      <c r="E2274" s="463"/>
    </row>
    <row r="2275" spans="1:5" hidden="1" x14ac:dyDescent="0.25">
      <c r="A2275" s="482"/>
      <c r="B2275" s="1"/>
      <c r="C2275" s="1"/>
      <c r="D2275" s="1"/>
      <c r="E2275" s="463"/>
    </row>
    <row r="2276" spans="1:5" hidden="1" x14ac:dyDescent="0.25">
      <c r="A2276" s="132" t="s">
        <v>7</v>
      </c>
      <c r="B2276" s="1"/>
      <c r="C2276" s="1"/>
      <c r="D2276" s="1"/>
      <c r="E2276" s="463"/>
    </row>
    <row r="2277" spans="1:5" hidden="1" x14ac:dyDescent="0.25">
      <c r="A2277" s="852" t="s">
        <v>434</v>
      </c>
      <c r="B2277" s="852"/>
      <c r="C2277" s="852"/>
      <c r="D2277" s="852"/>
      <c r="E2277" s="852"/>
    </row>
    <row r="2278" spans="1:5" hidden="1" x14ac:dyDescent="0.25">
      <c r="A2278" s="469" t="s">
        <v>8</v>
      </c>
      <c r="B2278" s="469" t="s">
        <v>9</v>
      </c>
      <c r="C2278" s="469" t="s">
        <v>10</v>
      </c>
      <c r="D2278" s="469" t="s">
        <v>11</v>
      </c>
      <c r="E2278" s="469" t="s">
        <v>12</v>
      </c>
    </row>
    <row r="2279" spans="1:5" hidden="1" x14ac:dyDescent="0.25">
      <c r="A2279" s="25">
        <v>1</v>
      </c>
      <c r="B2279" s="25">
        <v>2</v>
      </c>
      <c r="C2279" s="25">
        <v>3</v>
      </c>
      <c r="D2279" s="25">
        <v>4</v>
      </c>
      <c r="E2279" s="523">
        <v>5</v>
      </c>
    </row>
    <row r="2280" spans="1:5" hidden="1" x14ac:dyDescent="0.25">
      <c r="A2280" s="487" t="s">
        <v>13</v>
      </c>
      <c r="B2280" s="468" t="s">
        <v>344</v>
      </c>
      <c r="C2280" s="442"/>
      <c r="D2280" s="442"/>
      <c r="E2280" s="580"/>
    </row>
    <row r="2281" spans="1:5" ht="21.75" hidden="1" x14ac:dyDescent="0.25">
      <c r="A2281" s="597" t="s">
        <v>15</v>
      </c>
      <c r="B2281" s="596" t="s">
        <v>347</v>
      </c>
      <c r="C2281" s="508" t="s">
        <v>292</v>
      </c>
      <c r="D2281" s="598" t="s">
        <v>349</v>
      </c>
      <c r="E2281" s="634">
        <f>E2282+E2283</f>
        <v>5.92</v>
      </c>
    </row>
    <row r="2282" spans="1:5" ht="16.5" hidden="1" x14ac:dyDescent="0.25">
      <c r="A2282" s="700" t="s">
        <v>16</v>
      </c>
      <c r="B2282" s="706" t="s">
        <v>346</v>
      </c>
      <c r="C2282" s="508" t="s">
        <v>292</v>
      </c>
      <c r="D2282" s="600" t="s">
        <v>350</v>
      </c>
      <c r="E2282" s="635">
        <v>1.44</v>
      </c>
    </row>
    <row r="2283" spans="1:5" ht="16.5" hidden="1" x14ac:dyDescent="0.25">
      <c r="A2283" s="853" t="s">
        <v>17</v>
      </c>
      <c r="B2283" s="706" t="s">
        <v>345</v>
      </c>
      <c r="C2283" s="508" t="s">
        <v>292</v>
      </c>
      <c r="D2283" s="631" t="s">
        <v>409</v>
      </c>
      <c r="E2283" s="636">
        <f>ROUND(0.09+((44951*E2289+226*E2297+106.1*E2293+509*E2301)/(44.84*1000))/10,2)</f>
        <v>4.4800000000000004</v>
      </c>
    </row>
    <row r="2284" spans="1:5" ht="25.5" hidden="1" x14ac:dyDescent="0.25">
      <c r="A2284" s="853"/>
      <c r="B2284" s="509" t="s">
        <v>345</v>
      </c>
      <c r="C2284" s="640" t="s">
        <v>348</v>
      </c>
      <c r="D2284" s="510" t="s">
        <v>435</v>
      </c>
      <c r="E2284" s="581"/>
    </row>
    <row r="2285" spans="1:5" hidden="1" x14ac:dyDescent="0.25">
      <c r="A2285" s="488" t="s">
        <v>21</v>
      </c>
      <c r="B2285" s="337" t="s">
        <v>351</v>
      </c>
      <c r="C2285" s="31"/>
      <c r="D2285" s="337"/>
      <c r="E2285" s="529"/>
    </row>
    <row r="2286" spans="1:5" hidden="1" x14ac:dyDescent="0.25">
      <c r="A2286" s="47" t="s">
        <v>23</v>
      </c>
      <c r="B2286" s="506" t="s">
        <v>24</v>
      </c>
      <c r="C2286" s="49"/>
      <c r="D2286" s="49"/>
      <c r="E2286" s="530"/>
    </row>
    <row r="2287" spans="1:5" hidden="1" x14ac:dyDescent="0.25">
      <c r="A2287" s="25" t="s">
        <v>25</v>
      </c>
      <c r="B2287" s="24" t="s">
        <v>26</v>
      </c>
      <c r="C2287" s="628" t="s">
        <v>328</v>
      </c>
      <c r="D2287" s="24"/>
      <c r="E2287" s="582">
        <v>28.59</v>
      </c>
    </row>
    <row r="2288" spans="1:5" hidden="1" x14ac:dyDescent="0.25">
      <c r="A2288" s="25" t="s">
        <v>27</v>
      </c>
      <c r="B2288" s="24" t="s">
        <v>28</v>
      </c>
      <c r="C2288" s="616" t="s">
        <v>328</v>
      </c>
      <c r="D2288" s="24"/>
      <c r="E2288" s="583">
        <v>12.56</v>
      </c>
    </row>
    <row r="2289" spans="1:5" hidden="1" x14ac:dyDescent="0.25">
      <c r="A2289" s="25" t="s">
        <v>29</v>
      </c>
      <c r="B2289" s="38" t="s">
        <v>30</v>
      </c>
      <c r="C2289" s="616" t="s">
        <v>328</v>
      </c>
      <c r="D2289" s="24"/>
      <c r="E2289" s="584">
        <f>E2287+E2288</f>
        <v>41.15</v>
      </c>
    </row>
    <row r="2290" spans="1:5" hidden="1" x14ac:dyDescent="0.25">
      <c r="A2290" s="36" t="s">
        <v>31</v>
      </c>
      <c r="B2290" s="41" t="s">
        <v>265</v>
      </c>
      <c r="C2290" s="42"/>
      <c r="D2290" s="42"/>
      <c r="E2290" s="531"/>
    </row>
    <row r="2291" spans="1:5" hidden="1" x14ac:dyDescent="0.25">
      <c r="A2291" s="25" t="s">
        <v>35</v>
      </c>
      <c r="B2291" s="24" t="s">
        <v>26</v>
      </c>
      <c r="C2291" s="617" t="s">
        <v>399</v>
      </c>
      <c r="D2291" s="24"/>
      <c r="E2291" s="532"/>
    </row>
    <row r="2292" spans="1:5" hidden="1" x14ac:dyDescent="0.25">
      <c r="A2292" s="25" t="s">
        <v>36</v>
      </c>
      <c r="B2292" s="24" t="s">
        <v>28</v>
      </c>
      <c r="C2292" s="618" t="s">
        <v>399</v>
      </c>
      <c r="D2292" s="24"/>
      <c r="E2292" s="532"/>
    </row>
    <row r="2293" spans="1:5" hidden="1" x14ac:dyDescent="0.25">
      <c r="A2293" s="25" t="s">
        <v>37</v>
      </c>
      <c r="B2293" s="24" t="s">
        <v>30</v>
      </c>
      <c r="C2293" s="618" t="s">
        <v>399</v>
      </c>
      <c r="D2293" s="24"/>
      <c r="E2293" s="708">
        <v>105.21</v>
      </c>
    </row>
    <row r="2294" spans="1:5" hidden="1" x14ac:dyDescent="0.25">
      <c r="A2294" s="36" t="s">
        <v>34</v>
      </c>
      <c r="B2294" s="41" t="s">
        <v>266</v>
      </c>
      <c r="C2294" s="420"/>
      <c r="D2294" s="42"/>
      <c r="E2294" s="531"/>
    </row>
    <row r="2295" spans="1:5" hidden="1" x14ac:dyDescent="0.25">
      <c r="A2295" s="25" t="s">
        <v>38</v>
      </c>
      <c r="B2295" s="24" t="s">
        <v>26</v>
      </c>
      <c r="C2295" s="618" t="s">
        <v>399</v>
      </c>
      <c r="D2295" s="24"/>
      <c r="E2295" s="532">
        <v>79.040000000000006</v>
      </c>
    </row>
    <row r="2296" spans="1:5" hidden="1" x14ac:dyDescent="0.25">
      <c r="A2296" s="25" t="s">
        <v>39</v>
      </c>
      <c r="B2296" s="24" t="s">
        <v>28</v>
      </c>
      <c r="C2296" s="618" t="s">
        <v>399</v>
      </c>
      <c r="D2296" s="24"/>
      <c r="E2296" s="532">
        <v>24.12</v>
      </c>
    </row>
    <row r="2297" spans="1:5" hidden="1" x14ac:dyDescent="0.25">
      <c r="A2297" s="25" t="s">
        <v>40</v>
      </c>
      <c r="B2297" s="24" t="s">
        <v>30</v>
      </c>
      <c r="C2297" s="618" t="s">
        <v>399</v>
      </c>
      <c r="D2297" s="24"/>
      <c r="E2297" s="584">
        <f>+E2295+E2296</f>
        <v>103.16000000000001</v>
      </c>
    </row>
    <row r="2298" spans="1:5" hidden="1" x14ac:dyDescent="0.25">
      <c r="A2298" s="37" t="s">
        <v>352</v>
      </c>
      <c r="B2298" s="45" t="s">
        <v>103</v>
      </c>
      <c r="C2298" s="46"/>
      <c r="D2298" s="46"/>
      <c r="E2298" s="533"/>
    </row>
    <row r="2299" spans="1:5" hidden="1" x14ac:dyDescent="0.25">
      <c r="A2299" s="29" t="s">
        <v>353</v>
      </c>
      <c r="B2299" s="44" t="s">
        <v>26</v>
      </c>
      <c r="C2299" s="618" t="s">
        <v>399</v>
      </c>
      <c r="D2299" s="24"/>
      <c r="E2299" s="532">
        <v>151.41</v>
      </c>
    </row>
    <row r="2300" spans="1:5" hidden="1" x14ac:dyDescent="0.25">
      <c r="A2300" s="29" t="s">
        <v>354</v>
      </c>
      <c r="B2300" s="24" t="s">
        <v>28</v>
      </c>
      <c r="C2300" s="618" t="s">
        <v>399</v>
      </c>
      <c r="D2300" s="24"/>
      <c r="E2300" s="524">
        <v>14.25</v>
      </c>
    </row>
    <row r="2301" spans="1:5" hidden="1" x14ac:dyDescent="0.25">
      <c r="A2301" s="489" t="s">
        <v>355</v>
      </c>
      <c r="B2301" s="38" t="s">
        <v>30</v>
      </c>
      <c r="C2301" s="618" t="s">
        <v>399</v>
      </c>
      <c r="D2301" s="24"/>
      <c r="E2301" s="584">
        <f>+E2299+E2300</f>
        <v>165.66</v>
      </c>
    </row>
    <row r="2302" spans="1:5" hidden="1" x14ac:dyDescent="0.25">
      <c r="A2302" s="490" t="s">
        <v>42</v>
      </c>
      <c r="B2302" s="471" t="s">
        <v>356</v>
      </c>
      <c r="C2302" s="52"/>
      <c r="D2302" s="52"/>
      <c r="E2302" s="534"/>
    </row>
    <row r="2303" spans="1:5" hidden="1" x14ac:dyDescent="0.25">
      <c r="A2303" s="25" t="s">
        <v>44</v>
      </c>
      <c r="B2303" s="24" t="s">
        <v>357</v>
      </c>
      <c r="C2303" s="24"/>
      <c r="D2303" s="24"/>
      <c r="E2303" s="523" t="s">
        <v>106</v>
      </c>
    </row>
    <row r="2304" spans="1:5" hidden="1" x14ac:dyDescent="0.25">
      <c r="A2304" s="25" t="s">
        <v>45</v>
      </c>
      <c r="B2304" s="24" t="s">
        <v>358</v>
      </c>
      <c r="C2304" s="508" t="s">
        <v>292</v>
      </c>
      <c r="D2304" s="24"/>
      <c r="E2304" s="524">
        <v>0</v>
      </c>
    </row>
    <row r="2305" spans="1:5" ht="22.5" hidden="1" x14ac:dyDescent="0.25">
      <c r="A2305" s="491" t="s">
        <v>46</v>
      </c>
      <c r="B2305" s="503" t="s">
        <v>359</v>
      </c>
      <c r="C2305" s="508" t="s">
        <v>292</v>
      </c>
      <c r="D2305" s="495" t="s">
        <v>387</v>
      </c>
      <c r="E2305" s="637">
        <f>E2306+E2307</f>
        <v>5.92</v>
      </c>
    </row>
    <row r="2306" spans="1:5" ht="16.5" hidden="1" x14ac:dyDescent="0.25">
      <c r="A2306" s="25" t="s">
        <v>48</v>
      </c>
      <c r="B2306" s="24" t="s">
        <v>49</v>
      </c>
      <c r="C2306" s="508" t="s">
        <v>292</v>
      </c>
      <c r="D2306" s="600" t="s">
        <v>388</v>
      </c>
      <c r="E2306" s="532">
        <f>E2282</f>
        <v>1.44</v>
      </c>
    </row>
    <row r="2307" spans="1:5" ht="16.5" hidden="1" x14ac:dyDescent="0.25">
      <c r="A2307" s="854" t="s">
        <v>50</v>
      </c>
      <c r="B2307" s="472" t="s">
        <v>51</v>
      </c>
      <c r="C2307" s="511" t="s">
        <v>292</v>
      </c>
      <c r="D2307" s="600" t="s">
        <v>389</v>
      </c>
      <c r="E2307" s="536">
        <f>E2283</f>
        <v>4.4800000000000004</v>
      </c>
    </row>
    <row r="2308" spans="1:5" ht="25.5" hidden="1" x14ac:dyDescent="0.25">
      <c r="A2308" s="855"/>
      <c r="B2308" s="509" t="s">
        <v>51</v>
      </c>
      <c r="C2308" s="512" t="s">
        <v>348</v>
      </c>
      <c r="D2308" s="510" t="s">
        <v>435</v>
      </c>
      <c r="E2308" s="585"/>
    </row>
    <row r="2309" spans="1:5" hidden="1" x14ac:dyDescent="0.25">
      <c r="A2309" s="25" t="s">
        <v>52</v>
      </c>
      <c r="B2309" s="492" t="s">
        <v>360</v>
      </c>
      <c r="C2309" s="33"/>
      <c r="D2309" s="33"/>
      <c r="E2309" s="529"/>
    </row>
    <row r="2310" spans="1:5" ht="18.75" hidden="1" x14ac:dyDescent="0.3">
      <c r="A2310" s="25" t="s">
        <v>54</v>
      </c>
      <c r="B2310" s="24" t="s">
        <v>361</v>
      </c>
      <c r="C2310" s="11" t="s">
        <v>362</v>
      </c>
      <c r="D2310" s="497" t="s">
        <v>390</v>
      </c>
      <c r="E2310" s="524">
        <v>10.54</v>
      </c>
    </row>
    <row r="2311" spans="1:5" ht="16.5" hidden="1" x14ac:dyDescent="0.3">
      <c r="A2311" s="25" t="s">
        <v>57</v>
      </c>
      <c r="B2311" s="24" t="s">
        <v>58</v>
      </c>
      <c r="C2311" s="508" t="s">
        <v>292</v>
      </c>
      <c r="D2311" s="498" t="s">
        <v>389</v>
      </c>
      <c r="E2311" s="532">
        <f>E2307</f>
        <v>4.4800000000000004</v>
      </c>
    </row>
    <row r="2312" spans="1:5" hidden="1" x14ac:dyDescent="0.25">
      <c r="A2312" s="34" t="s">
        <v>60</v>
      </c>
      <c r="B2312" s="504" t="s">
        <v>61</v>
      </c>
      <c r="C2312" s="502"/>
      <c r="D2312" s="502"/>
      <c r="E2312" s="586"/>
    </row>
    <row r="2313" spans="1:5" ht="16.5" hidden="1" x14ac:dyDescent="0.25">
      <c r="A2313" s="602" t="s">
        <v>62</v>
      </c>
      <c r="B2313" s="601" t="s">
        <v>363</v>
      </c>
      <c r="C2313" s="508" t="s">
        <v>292</v>
      </c>
      <c r="D2313" s="600" t="s">
        <v>391</v>
      </c>
      <c r="E2313" s="638">
        <f>E2314+E2315</f>
        <v>2.0499148936170211</v>
      </c>
    </row>
    <row r="2314" spans="1:5" ht="16.5" hidden="1" x14ac:dyDescent="0.25">
      <c r="A2314" s="27" t="s">
        <v>63</v>
      </c>
      <c r="B2314" s="642" t="s">
        <v>64</v>
      </c>
      <c r="C2314" s="508" t="s">
        <v>292</v>
      </c>
      <c r="D2314" s="600" t="s">
        <v>392</v>
      </c>
      <c r="E2314" s="529">
        <v>0.79</v>
      </c>
    </row>
    <row r="2315" spans="1:5" ht="16.5" hidden="1" x14ac:dyDescent="0.25">
      <c r="A2315" s="856" t="s">
        <v>65</v>
      </c>
      <c r="B2315" s="603" t="s">
        <v>66</v>
      </c>
      <c r="C2315" s="508" t="s">
        <v>292</v>
      </c>
      <c r="D2315" s="630" t="s">
        <v>408</v>
      </c>
      <c r="E2315" s="514">
        <f>0.12+(7.24*E2281)/37.6</f>
        <v>1.259914893617021</v>
      </c>
    </row>
    <row r="2316" spans="1:5" hidden="1" x14ac:dyDescent="0.25">
      <c r="A2316" s="857"/>
      <c r="B2316" s="619" t="s">
        <v>66</v>
      </c>
      <c r="C2316" s="513" t="s">
        <v>348</v>
      </c>
      <c r="D2316" s="641" t="s">
        <v>436</v>
      </c>
      <c r="E2316" s="587"/>
    </row>
    <row r="2317" spans="1:5" hidden="1" x14ac:dyDescent="0.25">
      <c r="A2317" s="470" t="s">
        <v>67</v>
      </c>
      <c r="B2317" s="473" t="s">
        <v>364</v>
      </c>
      <c r="C2317" s="9"/>
      <c r="D2317" s="24"/>
      <c r="E2317" s="524"/>
    </row>
    <row r="2318" spans="1:5" ht="18.75" hidden="1" x14ac:dyDescent="0.3">
      <c r="A2318" s="470" t="s">
        <v>69</v>
      </c>
      <c r="B2318" s="473" t="s">
        <v>361</v>
      </c>
      <c r="C2318" s="515" t="s">
        <v>362</v>
      </c>
      <c r="D2318" s="497" t="s">
        <v>393</v>
      </c>
      <c r="E2318" s="532">
        <v>5.24</v>
      </c>
    </row>
    <row r="2319" spans="1:5" ht="16.5" hidden="1" x14ac:dyDescent="0.3">
      <c r="A2319" s="470" t="s">
        <v>70</v>
      </c>
      <c r="B2319" s="473" t="s">
        <v>365</v>
      </c>
      <c r="C2319" s="508" t="s">
        <v>292</v>
      </c>
      <c r="D2319" s="498" t="s">
        <v>394</v>
      </c>
      <c r="E2319" s="532">
        <f>E2315</f>
        <v>1.259914893617021</v>
      </c>
    </row>
    <row r="2320" spans="1:5" hidden="1" x14ac:dyDescent="0.25">
      <c r="A2320" s="126" t="s">
        <v>72</v>
      </c>
      <c r="B2320" s="504" t="s">
        <v>366</v>
      </c>
      <c r="C2320" s="516"/>
      <c r="D2320" s="502"/>
      <c r="E2320" s="586"/>
    </row>
    <row r="2321" spans="1:5" ht="16.5" hidden="1" x14ac:dyDescent="0.3">
      <c r="A2321" s="474" t="s">
        <v>79</v>
      </c>
      <c r="B2321" s="473" t="s">
        <v>367</v>
      </c>
      <c r="C2321" s="508" t="s">
        <v>292</v>
      </c>
      <c r="D2321" s="497" t="s">
        <v>370</v>
      </c>
      <c r="E2321" s="637">
        <v>0.1</v>
      </c>
    </row>
    <row r="2322" spans="1:5" ht="18.75" hidden="1" x14ac:dyDescent="0.3">
      <c r="A2322" s="474" t="s">
        <v>368</v>
      </c>
      <c r="B2322" s="626" t="s">
        <v>400</v>
      </c>
      <c r="C2322" s="627" t="s">
        <v>401</v>
      </c>
      <c r="D2322" s="621" t="s">
        <v>403</v>
      </c>
      <c r="E2322" s="462">
        <v>14.96</v>
      </c>
    </row>
    <row r="2323" spans="1:5" ht="18.75" hidden="1" x14ac:dyDescent="0.3">
      <c r="A2323" s="474" t="s">
        <v>369</v>
      </c>
      <c r="B2323" s="626" t="s">
        <v>402</v>
      </c>
      <c r="C2323" s="627" t="s">
        <v>401</v>
      </c>
      <c r="D2323" s="620" t="s">
        <v>404</v>
      </c>
      <c r="E2323" s="462">
        <v>0.75</v>
      </c>
    </row>
    <row r="2324" spans="1:5" ht="33" hidden="1" x14ac:dyDescent="0.25">
      <c r="A2324" s="493" t="s">
        <v>115</v>
      </c>
      <c r="B2324" s="622" t="s">
        <v>371</v>
      </c>
      <c r="C2324" s="623"/>
      <c r="D2324" s="624"/>
      <c r="E2324" s="623"/>
    </row>
    <row r="2325" spans="1:5" hidden="1" x14ac:dyDescent="0.25">
      <c r="A2325" s="494" t="s">
        <v>80</v>
      </c>
      <c r="B2325" s="477" t="s">
        <v>81</v>
      </c>
      <c r="C2325" s="508" t="s">
        <v>292</v>
      </c>
      <c r="D2325" s="625"/>
      <c r="E2325" s="639">
        <v>-0.02</v>
      </c>
    </row>
    <row r="2326" spans="1:5" hidden="1" x14ac:dyDescent="0.25">
      <c r="A2326" s="494" t="s">
        <v>82</v>
      </c>
      <c r="B2326" s="477" t="s">
        <v>83</v>
      </c>
      <c r="C2326" s="508" t="s">
        <v>292</v>
      </c>
      <c r="D2326" s="625"/>
      <c r="E2326" s="639">
        <v>-0.01</v>
      </c>
    </row>
    <row r="2327" spans="1:5" ht="21" hidden="1" x14ac:dyDescent="0.25">
      <c r="A2327" s="605" t="s">
        <v>84</v>
      </c>
      <c r="B2327" s="604" t="s">
        <v>372</v>
      </c>
      <c r="C2327" s="508" t="s">
        <v>292</v>
      </c>
      <c r="D2327" s="462"/>
      <c r="E2327" s="589">
        <f>ROUND(E2305+E2313+E2321+E2325+E2326, 2)</f>
        <v>8.0399999999999991</v>
      </c>
    </row>
    <row r="2328" spans="1:5" hidden="1" x14ac:dyDescent="0.25">
      <c r="A2328" s="365" t="s">
        <v>85</v>
      </c>
      <c r="B2328" s="518" t="s">
        <v>86</v>
      </c>
      <c r="C2328" s="508" t="s">
        <v>373</v>
      </c>
      <c r="D2328" s="462"/>
      <c r="E2328" s="462">
        <v>0</v>
      </c>
    </row>
    <row r="2329" spans="1:5" hidden="1" x14ac:dyDescent="0.25">
      <c r="A2329" s="670" t="s">
        <v>87</v>
      </c>
      <c r="B2329" s="671" t="s">
        <v>88</v>
      </c>
      <c r="C2329" s="508" t="s">
        <v>292</v>
      </c>
      <c r="D2329" s="499"/>
      <c r="E2329" s="540">
        <f>E2327</f>
        <v>8.0399999999999991</v>
      </c>
    </row>
    <row r="2330" spans="1:5" hidden="1" x14ac:dyDescent="0.25">
      <c r="A2330" s="672" t="s">
        <v>89</v>
      </c>
      <c r="B2330" s="671" t="s">
        <v>429</v>
      </c>
      <c r="C2330" s="508" t="s">
        <v>292</v>
      </c>
      <c r="D2330" s="499"/>
      <c r="E2330" s="538">
        <f>E2329*1.09</f>
        <v>8.7636000000000003</v>
      </c>
    </row>
    <row r="2331" spans="1:5" hidden="1" x14ac:dyDescent="0.25">
      <c r="A2331" s="721" t="s">
        <v>91</v>
      </c>
      <c r="B2331" s="722" t="s">
        <v>92</v>
      </c>
      <c r="C2331" s="508" t="s">
        <v>292</v>
      </c>
      <c r="D2331" s="499"/>
      <c r="E2331" s="709">
        <v>8.33</v>
      </c>
    </row>
    <row r="2332" spans="1:5" hidden="1" x14ac:dyDescent="0.25">
      <c r="A2332" s="475" t="s">
        <v>93</v>
      </c>
      <c r="B2332" s="476" t="s">
        <v>374</v>
      </c>
      <c r="C2332" s="517" t="s">
        <v>95</v>
      </c>
      <c r="D2332" s="499"/>
      <c r="E2332" s="668">
        <f>(E2327/E2331)*100-100</f>
        <v>-3.481392557022815</v>
      </c>
    </row>
    <row r="2333" spans="1:5" hidden="1" x14ac:dyDescent="0.25">
      <c r="A2333" s="494" t="s">
        <v>96</v>
      </c>
      <c r="B2333" s="477" t="s">
        <v>97</v>
      </c>
      <c r="C2333" s="130" t="s">
        <v>375</v>
      </c>
      <c r="D2333" s="500"/>
      <c r="E2333" s="666">
        <v>878</v>
      </c>
    </row>
    <row r="2334" spans="1:5" hidden="1" x14ac:dyDescent="0.25">
      <c r="A2334" s="494" t="s">
        <v>99</v>
      </c>
      <c r="B2334" s="477" t="s">
        <v>376</v>
      </c>
      <c r="C2334" s="130" t="s">
        <v>375</v>
      </c>
      <c r="D2334" s="462"/>
      <c r="E2334" s="666">
        <v>878</v>
      </c>
    </row>
    <row r="2335" spans="1:5" hidden="1" x14ac:dyDescent="0.25">
      <c r="A2335" s="478" t="s">
        <v>101</v>
      </c>
      <c r="B2335" s="477" t="s">
        <v>377</v>
      </c>
      <c r="C2335" s="130" t="s">
        <v>375</v>
      </c>
      <c r="D2335" s="501"/>
      <c r="E2335" s="667">
        <v>601.92899999999997</v>
      </c>
    </row>
    <row r="2336" spans="1:5" hidden="1" x14ac:dyDescent="0.25">
      <c r="A2336" s="478">
        <v>14</v>
      </c>
      <c r="B2336" s="477" t="s">
        <v>378</v>
      </c>
      <c r="C2336" s="125" t="s">
        <v>375</v>
      </c>
      <c r="D2336" s="462"/>
      <c r="E2336" s="462">
        <v>0</v>
      </c>
    </row>
    <row r="2337" spans="1:6" hidden="1" x14ac:dyDescent="0.25">
      <c r="B2337" s="643"/>
    </row>
    <row r="2338" spans="1:6" hidden="1" x14ac:dyDescent="0.25"/>
    <row r="2339" spans="1:6" hidden="1" x14ac:dyDescent="0.25">
      <c r="B2339" t="s">
        <v>189</v>
      </c>
      <c r="C2339" t="s">
        <v>193</v>
      </c>
      <c r="D2339" s="146" t="s">
        <v>190</v>
      </c>
    </row>
    <row r="2340" spans="1:6" hidden="1" x14ac:dyDescent="0.25">
      <c r="C2340" s="153" t="s">
        <v>194</v>
      </c>
    </row>
    <row r="2341" spans="1:6" hidden="1" x14ac:dyDescent="0.25"/>
    <row r="2342" spans="1:6" s="463" customFormat="1" ht="12.75" hidden="1" x14ac:dyDescent="0.2">
      <c r="D2342" s="592" t="s">
        <v>332</v>
      </c>
      <c r="E2342" s="592"/>
      <c r="F2342" s="486"/>
    </row>
    <row r="2343" spans="1:6" s="463" customFormat="1" ht="12.75" hidden="1" x14ac:dyDescent="0.2">
      <c r="D2343" s="851" t="s">
        <v>333</v>
      </c>
      <c r="E2343" s="851"/>
      <c r="F2343" s="479"/>
    </row>
    <row r="2344" spans="1:6" s="463" customFormat="1" ht="12.75" hidden="1" x14ac:dyDescent="0.2">
      <c r="D2344" s="851" t="s">
        <v>334</v>
      </c>
      <c r="E2344" s="851"/>
      <c r="F2344" s="479"/>
    </row>
    <row r="2345" spans="1:6" s="463" customFormat="1" ht="12.75" hidden="1" x14ac:dyDescent="0.2">
      <c r="D2345" s="712" t="s">
        <v>343</v>
      </c>
      <c r="E2345" s="520"/>
      <c r="F2345" s="480"/>
    </row>
    <row r="2346" spans="1:6" s="463" customFormat="1" ht="11.25" hidden="1" x14ac:dyDescent="0.2"/>
    <row r="2347" spans="1:6" s="463" customFormat="1" ht="12" hidden="1" x14ac:dyDescent="0.2">
      <c r="A2347" s="481"/>
      <c r="B2347" s="465" t="s">
        <v>335</v>
      </c>
      <c r="C2347" s="464"/>
      <c r="D2347" s="465" t="s">
        <v>336</v>
      </c>
      <c r="E2347" s="484"/>
      <c r="F2347" s="484"/>
    </row>
    <row r="2348" spans="1:6" s="463" customFormat="1" ht="12" hidden="1" x14ac:dyDescent="0.2">
      <c r="A2348" s="481"/>
      <c r="B2348" s="464" t="s">
        <v>337</v>
      </c>
      <c r="C2348" s="464"/>
      <c r="D2348" s="465" t="s">
        <v>338</v>
      </c>
      <c r="E2348" s="484"/>
      <c r="F2348" s="484"/>
    </row>
    <row r="2349" spans="1:6" s="463" customFormat="1" ht="12" hidden="1" x14ac:dyDescent="0.2">
      <c r="A2349" s="481"/>
      <c r="B2349" s="465" t="s">
        <v>379</v>
      </c>
      <c r="C2349" s="466"/>
      <c r="D2349" s="465" t="s">
        <v>339</v>
      </c>
      <c r="E2349" s="484"/>
      <c r="F2349" s="484"/>
    </row>
    <row r="2350" spans="1:6" s="463" customFormat="1" ht="12" hidden="1" x14ac:dyDescent="0.2">
      <c r="A2350" s="481"/>
      <c r="B2350" s="465" t="s">
        <v>380</v>
      </c>
      <c r="C2350" s="464"/>
      <c r="D2350" s="465" t="s">
        <v>385</v>
      </c>
      <c r="E2350" s="484"/>
      <c r="F2350" s="484"/>
    </row>
    <row r="2351" spans="1:6" s="463" customFormat="1" ht="12" hidden="1" x14ac:dyDescent="0.2">
      <c r="A2351" s="481"/>
      <c r="B2351" s="465" t="s">
        <v>381</v>
      </c>
      <c r="C2351" s="464"/>
      <c r="D2351" s="465" t="s">
        <v>382</v>
      </c>
      <c r="E2351" s="484"/>
      <c r="F2351" s="484"/>
    </row>
    <row r="2352" spans="1:6" s="463" customFormat="1" ht="12" hidden="1" x14ac:dyDescent="0.2">
      <c r="A2352" s="481"/>
      <c r="B2352" s="465" t="s">
        <v>382</v>
      </c>
      <c r="C2352" s="464"/>
      <c r="D2352" s="465" t="s">
        <v>386</v>
      </c>
      <c r="E2352" s="485"/>
      <c r="F2352" s="485"/>
    </row>
    <row r="2353" spans="1:6" s="463" customFormat="1" ht="12" hidden="1" x14ac:dyDescent="0.2">
      <c r="A2353" s="481"/>
      <c r="B2353" s="465" t="s">
        <v>383</v>
      </c>
      <c r="C2353" s="467"/>
      <c r="D2353" s="465"/>
      <c r="E2353" s="484"/>
      <c r="F2353" s="484"/>
    </row>
    <row r="2354" spans="1:6" s="463" customFormat="1" ht="12" hidden="1" x14ac:dyDescent="0.2">
      <c r="A2354" s="481"/>
      <c r="B2354" s="465" t="s">
        <v>384</v>
      </c>
      <c r="C2354" s="467"/>
      <c r="D2354" s="465"/>
      <c r="E2354" s="484"/>
      <c r="F2354" s="484"/>
    </row>
    <row r="2355" spans="1:6" hidden="1" x14ac:dyDescent="0.25">
      <c r="A2355" s="152"/>
      <c r="B2355" s="132"/>
      <c r="C2355" s="132"/>
      <c r="D2355" s="132"/>
      <c r="E2355" s="519"/>
    </row>
    <row r="2356" spans="1:6" ht="15.75" hidden="1" x14ac:dyDescent="0.25">
      <c r="A2356" s="141" t="s">
        <v>296</v>
      </c>
      <c r="B2356" s="141" t="s">
        <v>442</v>
      </c>
      <c r="C2356" s="2"/>
      <c r="D2356" s="2"/>
    </row>
    <row r="2357" spans="1:6" ht="15.75" hidden="1" x14ac:dyDescent="0.25">
      <c r="A2357" s="141"/>
      <c r="B2357" s="141"/>
      <c r="C2357" s="629" t="s">
        <v>443</v>
      </c>
      <c r="D2357" s="2"/>
    </row>
    <row r="2358" spans="1:6" ht="15.75" hidden="1" x14ac:dyDescent="0.25">
      <c r="A2358" s="141"/>
      <c r="B2358" s="141"/>
      <c r="C2358" s="505" t="s">
        <v>191</v>
      </c>
      <c r="D2358" s="2"/>
    </row>
    <row r="2359" spans="1:6" ht="15.75" hidden="1" x14ac:dyDescent="0.25">
      <c r="A2359" s="141"/>
      <c r="B2359" s="141"/>
      <c r="C2359" s="505"/>
      <c r="D2359" s="2"/>
    </row>
    <row r="2360" spans="1:6" hidden="1" x14ac:dyDescent="0.25">
      <c r="A2360" s="483" t="s">
        <v>6</v>
      </c>
      <c r="B2360" s="2"/>
      <c r="C2360" s="2"/>
      <c r="D2360" s="2"/>
      <c r="E2360" s="522"/>
    </row>
    <row r="2361" spans="1:6" hidden="1" x14ac:dyDescent="0.25">
      <c r="A2361" s="482" t="s">
        <v>340</v>
      </c>
      <c r="B2361" s="1"/>
      <c r="C2361" s="1"/>
      <c r="D2361" s="1"/>
      <c r="E2361" s="463"/>
    </row>
    <row r="2362" spans="1:6" hidden="1" x14ac:dyDescent="0.25">
      <c r="A2362" s="482"/>
      <c r="B2362" s="1"/>
      <c r="C2362" s="1"/>
      <c r="D2362" s="1"/>
      <c r="E2362" s="463"/>
    </row>
    <row r="2363" spans="1:6" hidden="1" x14ac:dyDescent="0.25">
      <c r="A2363" s="132" t="s">
        <v>7</v>
      </c>
      <c r="B2363" s="1"/>
      <c r="C2363" s="1"/>
      <c r="D2363" s="1"/>
      <c r="E2363" s="463"/>
    </row>
    <row r="2364" spans="1:6" hidden="1" x14ac:dyDescent="0.25">
      <c r="A2364" s="852" t="s">
        <v>434</v>
      </c>
      <c r="B2364" s="852"/>
      <c r="C2364" s="852"/>
      <c r="D2364" s="852"/>
      <c r="E2364" s="852"/>
    </row>
    <row r="2365" spans="1:6" hidden="1" x14ac:dyDescent="0.25">
      <c r="A2365" s="469" t="s">
        <v>8</v>
      </c>
      <c r="B2365" s="469" t="s">
        <v>9</v>
      </c>
      <c r="C2365" s="469" t="s">
        <v>10</v>
      </c>
      <c r="D2365" s="469" t="s">
        <v>11</v>
      </c>
      <c r="E2365" s="469" t="s">
        <v>12</v>
      </c>
    </row>
    <row r="2366" spans="1:6" hidden="1" x14ac:dyDescent="0.25">
      <c r="A2366" s="25">
        <v>1</v>
      </c>
      <c r="B2366" s="25">
        <v>2</v>
      </c>
      <c r="C2366" s="25">
        <v>3</v>
      </c>
      <c r="D2366" s="25">
        <v>4</v>
      </c>
      <c r="E2366" s="523">
        <v>5</v>
      </c>
    </row>
    <row r="2367" spans="1:6" hidden="1" x14ac:dyDescent="0.25">
      <c r="A2367" s="487" t="s">
        <v>13</v>
      </c>
      <c r="B2367" s="468" t="s">
        <v>344</v>
      </c>
      <c r="C2367" s="442"/>
      <c r="D2367" s="442"/>
      <c r="E2367" s="580"/>
    </row>
    <row r="2368" spans="1:6" ht="21.75" hidden="1" x14ac:dyDescent="0.25">
      <c r="A2368" s="597" t="s">
        <v>15</v>
      </c>
      <c r="B2368" s="596" t="s">
        <v>347</v>
      </c>
      <c r="C2368" s="508" t="s">
        <v>292</v>
      </c>
      <c r="D2368" s="598" t="s">
        <v>349</v>
      </c>
      <c r="E2368" s="634">
        <f>E2369+E2370</f>
        <v>6.0500000000000007</v>
      </c>
    </row>
    <row r="2369" spans="1:5" ht="16.5" hidden="1" x14ac:dyDescent="0.25">
      <c r="A2369" s="713" t="s">
        <v>16</v>
      </c>
      <c r="B2369" s="718" t="s">
        <v>346</v>
      </c>
      <c r="C2369" s="508" t="s">
        <v>292</v>
      </c>
      <c r="D2369" s="600" t="s">
        <v>350</v>
      </c>
      <c r="E2369" s="635">
        <v>1.44</v>
      </c>
    </row>
    <row r="2370" spans="1:5" ht="16.5" hidden="1" x14ac:dyDescent="0.25">
      <c r="A2370" s="853" t="s">
        <v>17</v>
      </c>
      <c r="B2370" s="718" t="s">
        <v>345</v>
      </c>
      <c r="C2370" s="508" t="s">
        <v>292</v>
      </c>
      <c r="D2370" s="631" t="s">
        <v>409</v>
      </c>
      <c r="E2370" s="636">
        <f>ROUND(0.09+((44951*E2376+226*E2384+106.1*E2380+509*E2388)/(44.84*1000))/10,2)</f>
        <v>4.6100000000000003</v>
      </c>
    </row>
    <row r="2371" spans="1:5" ht="25.5" hidden="1" x14ac:dyDescent="0.25">
      <c r="A2371" s="853"/>
      <c r="B2371" s="509" t="s">
        <v>345</v>
      </c>
      <c r="C2371" s="640" t="s">
        <v>348</v>
      </c>
      <c r="D2371" s="510" t="s">
        <v>435</v>
      </c>
      <c r="E2371" s="581"/>
    </row>
    <row r="2372" spans="1:5" hidden="1" x14ac:dyDescent="0.25">
      <c r="A2372" s="488" t="s">
        <v>21</v>
      </c>
      <c r="B2372" s="337" t="s">
        <v>351</v>
      </c>
      <c r="C2372" s="31"/>
      <c r="D2372" s="337"/>
      <c r="E2372" s="529"/>
    </row>
    <row r="2373" spans="1:5" hidden="1" x14ac:dyDescent="0.25">
      <c r="A2373" s="47" t="s">
        <v>23</v>
      </c>
      <c r="B2373" s="506" t="s">
        <v>24</v>
      </c>
      <c r="C2373" s="49"/>
      <c r="D2373" s="49"/>
      <c r="E2373" s="530"/>
    </row>
    <row r="2374" spans="1:5" hidden="1" x14ac:dyDescent="0.25">
      <c r="A2374" s="25" t="s">
        <v>25</v>
      </c>
      <c r="B2374" s="24" t="s">
        <v>26</v>
      </c>
      <c r="C2374" s="628" t="s">
        <v>328</v>
      </c>
      <c r="D2374" s="24"/>
      <c r="E2374" s="582">
        <v>29.92</v>
      </c>
    </row>
    <row r="2375" spans="1:5" hidden="1" x14ac:dyDescent="0.25">
      <c r="A2375" s="25" t="s">
        <v>27</v>
      </c>
      <c r="B2375" s="24" t="s">
        <v>28</v>
      </c>
      <c r="C2375" s="616" t="s">
        <v>328</v>
      </c>
      <c r="D2375" s="24"/>
      <c r="E2375" s="583">
        <v>12.56</v>
      </c>
    </row>
    <row r="2376" spans="1:5" hidden="1" x14ac:dyDescent="0.25">
      <c r="A2376" s="25" t="s">
        <v>29</v>
      </c>
      <c r="B2376" s="38" t="s">
        <v>30</v>
      </c>
      <c r="C2376" s="616" t="s">
        <v>328</v>
      </c>
      <c r="D2376" s="24"/>
      <c r="E2376" s="584">
        <f>E2374+E2375</f>
        <v>42.480000000000004</v>
      </c>
    </row>
    <row r="2377" spans="1:5" hidden="1" x14ac:dyDescent="0.25">
      <c r="A2377" s="36" t="s">
        <v>31</v>
      </c>
      <c r="B2377" s="41" t="s">
        <v>265</v>
      </c>
      <c r="C2377" s="42"/>
      <c r="D2377" s="42"/>
      <c r="E2377" s="531"/>
    </row>
    <row r="2378" spans="1:5" hidden="1" x14ac:dyDescent="0.25">
      <c r="A2378" s="25" t="s">
        <v>35</v>
      </c>
      <c r="B2378" s="24" t="s">
        <v>26</v>
      </c>
      <c r="C2378" s="617" t="s">
        <v>399</v>
      </c>
      <c r="D2378" s="24"/>
      <c r="E2378" s="582">
        <v>102.92</v>
      </c>
    </row>
    <row r="2379" spans="1:5" hidden="1" x14ac:dyDescent="0.25">
      <c r="A2379" s="25" t="s">
        <v>36</v>
      </c>
      <c r="B2379" s="24" t="s">
        <v>28</v>
      </c>
      <c r="C2379" s="618" t="s">
        <v>399</v>
      </c>
      <c r="D2379" s="24"/>
      <c r="E2379" s="582">
        <v>12.21</v>
      </c>
    </row>
    <row r="2380" spans="1:5" hidden="1" x14ac:dyDescent="0.25">
      <c r="A2380" s="25" t="s">
        <v>37</v>
      </c>
      <c r="B2380" s="24" t="s">
        <v>30</v>
      </c>
      <c r="C2380" s="618" t="s">
        <v>399</v>
      </c>
      <c r="D2380" s="24"/>
      <c r="E2380" s="708">
        <f>+E2378+E2379</f>
        <v>115.13</v>
      </c>
    </row>
    <row r="2381" spans="1:5" hidden="1" x14ac:dyDescent="0.25">
      <c r="A2381" s="36" t="s">
        <v>34</v>
      </c>
      <c r="B2381" s="41" t="s">
        <v>266</v>
      </c>
      <c r="C2381" s="420"/>
      <c r="D2381" s="42"/>
      <c r="E2381" s="531"/>
    </row>
    <row r="2382" spans="1:5" hidden="1" x14ac:dyDescent="0.25">
      <c r="A2382" s="25" t="s">
        <v>38</v>
      </c>
      <c r="B2382" s="24" t="s">
        <v>26</v>
      </c>
      <c r="C2382" s="618" t="s">
        <v>399</v>
      </c>
      <c r="D2382" s="24"/>
      <c r="E2382" s="582">
        <v>83.2</v>
      </c>
    </row>
    <row r="2383" spans="1:5" hidden="1" x14ac:dyDescent="0.25">
      <c r="A2383" s="25" t="s">
        <v>39</v>
      </c>
      <c r="B2383" s="24" t="s">
        <v>28</v>
      </c>
      <c r="C2383" s="618" t="s">
        <v>399</v>
      </c>
      <c r="D2383" s="24"/>
      <c r="E2383" s="582">
        <v>16.63</v>
      </c>
    </row>
    <row r="2384" spans="1:5" hidden="1" x14ac:dyDescent="0.25">
      <c r="A2384" s="25" t="s">
        <v>40</v>
      </c>
      <c r="B2384" s="24" t="s">
        <v>30</v>
      </c>
      <c r="C2384" s="618" t="s">
        <v>399</v>
      </c>
      <c r="D2384" s="24"/>
      <c r="E2384" s="584">
        <f>+E2382+E2383</f>
        <v>99.83</v>
      </c>
    </row>
    <row r="2385" spans="1:5" hidden="1" x14ac:dyDescent="0.25">
      <c r="A2385" s="37" t="s">
        <v>352</v>
      </c>
      <c r="B2385" s="45" t="s">
        <v>103</v>
      </c>
      <c r="C2385" s="46"/>
      <c r="D2385" s="46"/>
      <c r="E2385" s="533"/>
    </row>
    <row r="2386" spans="1:5" hidden="1" x14ac:dyDescent="0.25">
      <c r="A2386" s="29" t="s">
        <v>353</v>
      </c>
      <c r="B2386" s="44" t="s">
        <v>26</v>
      </c>
      <c r="C2386" s="618" t="s">
        <v>399</v>
      </c>
      <c r="D2386" s="24"/>
      <c r="E2386" s="582">
        <v>151.41</v>
      </c>
    </row>
    <row r="2387" spans="1:5" hidden="1" x14ac:dyDescent="0.25">
      <c r="A2387" s="29" t="s">
        <v>354</v>
      </c>
      <c r="B2387" s="24" t="s">
        <v>28</v>
      </c>
      <c r="C2387" s="618" t="s">
        <v>399</v>
      </c>
      <c r="D2387" s="24"/>
      <c r="E2387" s="583">
        <v>14.25</v>
      </c>
    </row>
    <row r="2388" spans="1:5" hidden="1" x14ac:dyDescent="0.25">
      <c r="A2388" s="489" t="s">
        <v>355</v>
      </c>
      <c r="B2388" s="38" t="s">
        <v>30</v>
      </c>
      <c r="C2388" s="618" t="s">
        <v>399</v>
      </c>
      <c r="D2388" s="24"/>
      <c r="E2388" s="584">
        <f>+E2386+E2387</f>
        <v>165.66</v>
      </c>
    </row>
    <row r="2389" spans="1:5" hidden="1" x14ac:dyDescent="0.25">
      <c r="A2389" s="490" t="s">
        <v>42</v>
      </c>
      <c r="B2389" s="471" t="s">
        <v>356</v>
      </c>
      <c r="C2389" s="52"/>
      <c r="D2389" s="52"/>
      <c r="E2389" s="534"/>
    </row>
    <row r="2390" spans="1:5" hidden="1" x14ac:dyDescent="0.25">
      <c r="A2390" s="25" t="s">
        <v>44</v>
      </c>
      <c r="B2390" s="24" t="s">
        <v>357</v>
      </c>
      <c r="C2390" s="24"/>
      <c r="D2390" s="24"/>
      <c r="E2390" s="523" t="s">
        <v>106</v>
      </c>
    </row>
    <row r="2391" spans="1:5" hidden="1" x14ac:dyDescent="0.25">
      <c r="A2391" s="25" t="s">
        <v>45</v>
      </c>
      <c r="B2391" s="24" t="s">
        <v>358</v>
      </c>
      <c r="C2391" s="508" t="s">
        <v>292</v>
      </c>
      <c r="D2391" s="24"/>
      <c r="E2391" s="524">
        <v>0</v>
      </c>
    </row>
    <row r="2392" spans="1:5" ht="22.5" hidden="1" x14ac:dyDescent="0.25">
      <c r="A2392" s="491" t="s">
        <v>46</v>
      </c>
      <c r="B2392" s="503" t="s">
        <v>359</v>
      </c>
      <c r="C2392" s="508" t="s">
        <v>292</v>
      </c>
      <c r="D2392" s="495" t="s">
        <v>387</v>
      </c>
      <c r="E2392" s="637">
        <f>E2393+E2394</f>
        <v>6.0500000000000007</v>
      </c>
    </row>
    <row r="2393" spans="1:5" ht="16.5" hidden="1" x14ac:dyDescent="0.25">
      <c r="A2393" s="25" t="s">
        <v>48</v>
      </c>
      <c r="B2393" s="24" t="s">
        <v>49</v>
      </c>
      <c r="C2393" s="508" t="s">
        <v>292</v>
      </c>
      <c r="D2393" s="600" t="s">
        <v>388</v>
      </c>
      <c r="E2393" s="532">
        <f>E2369</f>
        <v>1.44</v>
      </c>
    </row>
    <row r="2394" spans="1:5" ht="16.5" hidden="1" x14ac:dyDescent="0.25">
      <c r="A2394" s="854" t="s">
        <v>50</v>
      </c>
      <c r="B2394" s="472" t="s">
        <v>51</v>
      </c>
      <c r="C2394" s="511" t="s">
        <v>292</v>
      </c>
      <c r="D2394" s="600" t="s">
        <v>389</v>
      </c>
      <c r="E2394" s="536">
        <f>E2370</f>
        <v>4.6100000000000003</v>
      </c>
    </row>
    <row r="2395" spans="1:5" ht="25.5" hidden="1" x14ac:dyDescent="0.25">
      <c r="A2395" s="855"/>
      <c r="B2395" s="509" t="s">
        <v>51</v>
      </c>
      <c r="C2395" s="512" t="s">
        <v>348</v>
      </c>
      <c r="D2395" s="510" t="s">
        <v>435</v>
      </c>
      <c r="E2395" s="585"/>
    </row>
    <row r="2396" spans="1:5" hidden="1" x14ac:dyDescent="0.25">
      <c r="A2396" s="25" t="s">
        <v>52</v>
      </c>
      <c r="B2396" s="492" t="s">
        <v>360</v>
      </c>
      <c r="C2396" s="33"/>
      <c r="D2396" s="33"/>
      <c r="E2396" s="529"/>
    </row>
    <row r="2397" spans="1:5" ht="18.75" hidden="1" x14ac:dyDescent="0.3">
      <c r="A2397" s="25" t="s">
        <v>54</v>
      </c>
      <c r="B2397" s="24" t="s">
        <v>361</v>
      </c>
      <c r="C2397" s="11" t="s">
        <v>362</v>
      </c>
      <c r="D2397" s="497" t="s">
        <v>390</v>
      </c>
      <c r="E2397" s="524">
        <v>10.54</v>
      </c>
    </row>
    <row r="2398" spans="1:5" ht="16.5" hidden="1" x14ac:dyDescent="0.3">
      <c r="A2398" s="25" t="s">
        <v>57</v>
      </c>
      <c r="B2398" s="24" t="s">
        <v>58</v>
      </c>
      <c r="C2398" s="508" t="s">
        <v>292</v>
      </c>
      <c r="D2398" s="498" t="s">
        <v>389</v>
      </c>
      <c r="E2398" s="532">
        <f>E2394</f>
        <v>4.6100000000000003</v>
      </c>
    </row>
    <row r="2399" spans="1:5" hidden="1" x14ac:dyDescent="0.25">
      <c r="A2399" s="34" t="s">
        <v>60</v>
      </c>
      <c r="B2399" s="504" t="s">
        <v>61</v>
      </c>
      <c r="C2399" s="502"/>
      <c r="D2399" s="502"/>
      <c r="E2399" s="586"/>
    </row>
    <row r="2400" spans="1:5" ht="16.5" hidden="1" x14ac:dyDescent="0.25">
      <c r="A2400" s="602" t="s">
        <v>62</v>
      </c>
      <c r="B2400" s="601" t="s">
        <v>363</v>
      </c>
      <c r="C2400" s="508" t="s">
        <v>292</v>
      </c>
      <c r="D2400" s="600" t="s">
        <v>391</v>
      </c>
      <c r="E2400" s="638">
        <f>E2401+E2402</f>
        <v>2.0749468085106386</v>
      </c>
    </row>
    <row r="2401" spans="1:5" ht="16.5" hidden="1" x14ac:dyDescent="0.25">
      <c r="A2401" s="27" t="s">
        <v>63</v>
      </c>
      <c r="B2401" s="642" t="s">
        <v>64</v>
      </c>
      <c r="C2401" s="508" t="s">
        <v>292</v>
      </c>
      <c r="D2401" s="600" t="s">
        <v>392</v>
      </c>
      <c r="E2401" s="529">
        <v>0.79</v>
      </c>
    </row>
    <row r="2402" spans="1:5" ht="16.5" hidden="1" x14ac:dyDescent="0.25">
      <c r="A2402" s="856" t="s">
        <v>65</v>
      </c>
      <c r="B2402" s="603" t="s">
        <v>66</v>
      </c>
      <c r="C2402" s="508" t="s">
        <v>292</v>
      </c>
      <c r="D2402" s="630" t="s">
        <v>408</v>
      </c>
      <c r="E2402" s="514">
        <f>0.12+(7.24*E2368)/37.6</f>
        <v>1.2849468085106386</v>
      </c>
    </row>
    <row r="2403" spans="1:5" hidden="1" x14ac:dyDescent="0.25">
      <c r="A2403" s="857"/>
      <c r="B2403" s="619" t="s">
        <v>66</v>
      </c>
      <c r="C2403" s="513" t="s">
        <v>348</v>
      </c>
      <c r="D2403" s="641" t="s">
        <v>436</v>
      </c>
      <c r="E2403" s="587"/>
    </row>
    <row r="2404" spans="1:5" hidden="1" x14ac:dyDescent="0.25">
      <c r="A2404" s="470" t="s">
        <v>67</v>
      </c>
      <c r="B2404" s="473" t="s">
        <v>364</v>
      </c>
      <c r="C2404" s="9"/>
      <c r="D2404" s="24"/>
      <c r="E2404" s="524"/>
    </row>
    <row r="2405" spans="1:5" ht="18.75" hidden="1" x14ac:dyDescent="0.3">
      <c r="A2405" s="470" t="s">
        <v>69</v>
      </c>
      <c r="B2405" s="473" t="s">
        <v>361</v>
      </c>
      <c r="C2405" s="515" t="s">
        <v>362</v>
      </c>
      <c r="D2405" s="497" t="s">
        <v>393</v>
      </c>
      <c r="E2405" s="532">
        <v>5.24</v>
      </c>
    </row>
    <row r="2406" spans="1:5" ht="16.5" hidden="1" x14ac:dyDescent="0.3">
      <c r="A2406" s="470" t="s">
        <v>70</v>
      </c>
      <c r="B2406" s="473" t="s">
        <v>365</v>
      </c>
      <c r="C2406" s="508" t="s">
        <v>292</v>
      </c>
      <c r="D2406" s="498" t="s">
        <v>394</v>
      </c>
      <c r="E2406" s="532">
        <f>E2402</f>
        <v>1.2849468085106386</v>
      </c>
    </row>
    <row r="2407" spans="1:5" hidden="1" x14ac:dyDescent="0.25">
      <c r="A2407" s="126" t="s">
        <v>72</v>
      </c>
      <c r="B2407" s="504" t="s">
        <v>366</v>
      </c>
      <c r="C2407" s="516"/>
      <c r="D2407" s="502"/>
      <c r="E2407" s="586"/>
    </row>
    <row r="2408" spans="1:5" ht="16.5" hidden="1" x14ac:dyDescent="0.3">
      <c r="A2408" s="474" t="s">
        <v>79</v>
      </c>
      <c r="B2408" s="473" t="s">
        <v>367</v>
      </c>
      <c r="C2408" s="508" t="s">
        <v>292</v>
      </c>
      <c r="D2408" s="497" t="s">
        <v>370</v>
      </c>
      <c r="E2408" s="637">
        <v>0.1</v>
      </c>
    </row>
    <row r="2409" spans="1:5" ht="18.75" hidden="1" x14ac:dyDescent="0.3">
      <c r="A2409" s="474" t="s">
        <v>368</v>
      </c>
      <c r="B2409" s="626" t="s">
        <v>400</v>
      </c>
      <c r="C2409" s="627" t="s">
        <v>401</v>
      </c>
      <c r="D2409" s="621" t="s">
        <v>403</v>
      </c>
      <c r="E2409" s="462">
        <v>14.96</v>
      </c>
    </row>
    <row r="2410" spans="1:5" ht="18.75" hidden="1" x14ac:dyDescent="0.3">
      <c r="A2410" s="474" t="s">
        <v>369</v>
      </c>
      <c r="B2410" s="626" t="s">
        <v>402</v>
      </c>
      <c r="C2410" s="627" t="s">
        <v>401</v>
      </c>
      <c r="D2410" s="620" t="s">
        <v>404</v>
      </c>
      <c r="E2410" s="462">
        <v>0.75</v>
      </c>
    </row>
    <row r="2411" spans="1:5" ht="33" hidden="1" x14ac:dyDescent="0.25">
      <c r="A2411" s="493" t="s">
        <v>115</v>
      </c>
      <c r="B2411" s="622" t="s">
        <v>371</v>
      </c>
      <c r="C2411" s="623"/>
      <c r="D2411" s="624"/>
      <c r="E2411" s="623"/>
    </row>
    <row r="2412" spans="1:5" hidden="1" x14ac:dyDescent="0.25">
      <c r="A2412" s="494" t="s">
        <v>80</v>
      </c>
      <c r="B2412" s="477" t="s">
        <v>81</v>
      </c>
      <c r="C2412" s="508" t="s">
        <v>292</v>
      </c>
      <c r="D2412" s="625"/>
      <c r="E2412" s="639">
        <v>-0.02</v>
      </c>
    </row>
    <row r="2413" spans="1:5" hidden="1" x14ac:dyDescent="0.25">
      <c r="A2413" s="494" t="s">
        <v>82</v>
      </c>
      <c r="B2413" s="477" t="s">
        <v>83</v>
      </c>
      <c r="C2413" s="508" t="s">
        <v>292</v>
      </c>
      <c r="D2413" s="625"/>
      <c r="E2413" s="639">
        <v>-0.01</v>
      </c>
    </row>
    <row r="2414" spans="1:5" ht="21" hidden="1" x14ac:dyDescent="0.25">
      <c r="A2414" s="605" t="s">
        <v>84</v>
      </c>
      <c r="B2414" s="604" t="s">
        <v>372</v>
      </c>
      <c r="C2414" s="508" t="s">
        <v>292</v>
      </c>
      <c r="D2414" s="462"/>
      <c r="E2414" s="589">
        <f>ROUND(E2392+E2400+E2408+E2412+E2413, 2)</f>
        <v>8.19</v>
      </c>
    </row>
    <row r="2415" spans="1:5" hidden="1" x14ac:dyDescent="0.25">
      <c r="A2415" s="365" t="s">
        <v>85</v>
      </c>
      <c r="B2415" s="518" t="s">
        <v>86</v>
      </c>
      <c r="C2415" s="508" t="s">
        <v>373</v>
      </c>
      <c r="D2415" s="462"/>
      <c r="E2415" s="462">
        <v>0</v>
      </c>
    </row>
    <row r="2416" spans="1:5" hidden="1" x14ac:dyDescent="0.25">
      <c r="A2416" s="670" t="s">
        <v>87</v>
      </c>
      <c r="B2416" s="671" t="s">
        <v>88</v>
      </c>
      <c r="C2416" s="508" t="s">
        <v>292</v>
      </c>
      <c r="D2416" s="499"/>
      <c r="E2416" s="540">
        <f>E2414</f>
        <v>8.19</v>
      </c>
    </row>
    <row r="2417" spans="1:6" hidden="1" x14ac:dyDescent="0.25">
      <c r="A2417" s="672" t="s">
        <v>89</v>
      </c>
      <c r="B2417" s="671" t="s">
        <v>444</v>
      </c>
      <c r="C2417" s="508" t="s">
        <v>292</v>
      </c>
      <c r="D2417" s="499"/>
      <c r="E2417" s="538">
        <f>E2416*1.09</f>
        <v>8.9270999999999994</v>
      </c>
    </row>
    <row r="2418" spans="1:6" hidden="1" x14ac:dyDescent="0.25">
      <c r="A2418" s="721" t="s">
        <v>91</v>
      </c>
      <c r="B2418" s="722" t="s">
        <v>92</v>
      </c>
      <c r="C2418" s="508" t="s">
        <v>292</v>
      </c>
      <c r="D2418" s="499"/>
      <c r="E2418" s="709">
        <v>8.0399999999999991</v>
      </c>
    </row>
    <row r="2419" spans="1:6" hidden="1" x14ac:dyDescent="0.25">
      <c r="A2419" s="475" t="s">
        <v>93</v>
      </c>
      <c r="B2419" s="476" t="s">
        <v>374</v>
      </c>
      <c r="C2419" s="517" t="s">
        <v>95</v>
      </c>
      <c r="D2419" s="499"/>
      <c r="E2419" s="668">
        <f>(E2414/E2418)*100-100</f>
        <v>1.865671641791053</v>
      </c>
    </row>
    <row r="2420" spans="1:6" hidden="1" x14ac:dyDescent="0.25">
      <c r="A2420" s="494" t="s">
        <v>96</v>
      </c>
      <c r="B2420" s="477" t="s">
        <v>97</v>
      </c>
      <c r="C2420" s="130" t="s">
        <v>375</v>
      </c>
      <c r="D2420" s="500"/>
      <c r="E2420" s="666">
        <v>899</v>
      </c>
    </row>
    <row r="2421" spans="1:6" hidden="1" x14ac:dyDescent="0.25">
      <c r="A2421" s="494" t="s">
        <v>99</v>
      </c>
      <c r="B2421" s="477" t="s">
        <v>376</v>
      </c>
      <c r="C2421" s="130" t="s">
        <v>375</v>
      </c>
      <c r="D2421" s="462"/>
      <c r="E2421" s="666">
        <v>899</v>
      </c>
    </row>
    <row r="2422" spans="1:6" hidden="1" x14ac:dyDescent="0.25">
      <c r="A2422" s="478" t="s">
        <v>101</v>
      </c>
      <c r="B2422" s="477" t="s">
        <v>377</v>
      </c>
      <c r="C2422" s="130" t="s">
        <v>375</v>
      </c>
      <c r="D2422" s="501"/>
      <c r="E2422" s="667">
        <v>646.72699999999998</v>
      </c>
    </row>
    <row r="2423" spans="1:6" hidden="1" x14ac:dyDescent="0.25">
      <c r="A2423" s="478">
        <v>14</v>
      </c>
      <c r="B2423" s="477" t="s">
        <v>378</v>
      </c>
      <c r="C2423" s="125" t="s">
        <v>375</v>
      </c>
      <c r="D2423" s="462"/>
      <c r="E2423" s="462">
        <v>0</v>
      </c>
    </row>
    <row r="2424" spans="1:6" hidden="1" x14ac:dyDescent="0.25">
      <c r="B2424" s="643"/>
    </row>
    <row r="2425" spans="1:6" hidden="1" x14ac:dyDescent="0.25"/>
    <row r="2426" spans="1:6" hidden="1" x14ac:dyDescent="0.25">
      <c r="B2426" t="s">
        <v>189</v>
      </c>
      <c r="C2426" t="s">
        <v>193</v>
      </c>
      <c r="D2426" s="146" t="s">
        <v>190</v>
      </c>
    </row>
    <row r="2427" spans="1:6" hidden="1" x14ac:dyDescent="0.25">
      <c r="C2427" s="153" t="s">
        <v>194</v>
      </c>
    </row>
    <row r="2428" spans="1:6" hidden="1" x14ac:dyDescent="0.25"/>
    <row r="2429" spans="1:6" s="463" customFormat="1" ht="12.75" hidden="1" x14ac:dyDescent="0.2">
      <c r="D2429" s="592" t="s">
        <v>332</v>
      </c>
      <c r="E2429" s="592"/>
      <c r="F2429" s="486"/>
    </row>
    <row r="2430" spans="1:6" s="463" customFormat="1" ht="12.75" hidden="1" x14ac:dyDescent="0.2">
      <c r="D2430" s="851" t="s">
        <v>333</v>
      </c>
      <c r="E2430" s="851"/>
      <c r="F2430" s="479"/>
    </row>
    <row r="2431" spans="1:6" s="463" customFormat="1" ht="12.75" hidden="1" x14ac:dyDescent="0.2">
      <c r="D2431" s="851" t="s">
        <v>334</v>
      </c>
      <c r="E2431" s="851"/>
      <c r="F2431" s="479"/>
    </row>
    <row r="2432" spans="1:6" s="463" customFormat="1" ht="12.75" hidden="1" x14ac:dyDescent="0.2">
      <c r="D2432" s="724" t="s">
        <v>343</v>
      </c>
      <c r="E2432" s="520"/>
      <c r="F2432" s="480"/>
    </row>
    <row r="2433" spans="1:6" s="463" customFormat="1" ht="11.25" hidden="1" x14ac:dyDescent="0.2"/>
    <row r="2434" spans="1:6" s="463" customFormat="1" ht="12" hidden="1" x14ac:dyDescent="0.2">
      <c r="A2434" s="481"/>
      <c r="B2434" s="465" t="s">
        <v>335</v>
      </c>
      <c r="C2434" s="464"/>
      <c r="D2434" s="465" t="s">
        <v>336</v>
      </c>
      <c r="E2434" s="484"/>
      <c r="F2434" s="484"/>
    </row>
    <row r="2435" spans="1:6" s="463" customFormat="1" ht="12" hidden="1" x14ac:dyDescent="0.2">
      <c r="A2435" s="481"/>
      <c r="B2435" s="464" t="s">
        <v>337</v>
      </c>
      <c r="C2435" s="464"/>
      <c r="D2435" s="465" t="s">
        <v>338</v>
      </c>
      <c r="E2435" s="484"/>
      <c r="F2435" s="484"/>
    </row>
    <row r="2436" spans="1:6" s="463" customFormat="1" ht="12" hidden="1" x14ac:dyDescent="0.2">
      <c r="A2436" s="481"/>
      <c r="B2436" s="465" t="s">
        <v>379</v>
      </c>
      <c r="C2436" s="466"/>
      <c r="D2436" s="465" t="s">
        <v>339</v>
      </c>
      <c r="E2436" s="484"/>
      <c r="F2436" s="484"/>
    </row>
    <row r="2437" spans="1:6" s="463" customFormat="1" ht="12" hidden="1" x14ac:dyDescent="0.2">
      <c r="A2437" s="481"/>
      <c r="B2437" s="465" t="s">
        <v>380</v>
      </c>
      <c r="C2437" s="464"/>
      <c r="D2437" s="465" t="s">
        <v>385</v>
      </c>
      <c r="E2437" s="484"/>
      <c r="F2437" s="484"/>
    </row>
    <row r="2438" spans="1:6" s="463" customFormat="1" ht="12" hidden="1" x14ac:dyDescent="0.2">
      <c r="A2438" s="481"/>
      <c r="B2438" s="465" t="s">
        <v>381</v>
      </c>
      <c r="C2438" s="464"/>
      <c r="D2438" s="465" t="s">
        <v>382</v>
      </c>
      <c r="E2438" s="484"/>
      <c r="F2438" s="484"/>
    </row>
    <row r="2439" spans="1:6" s="463" customFormat="1" ht="12" hidden="1" x14ac:dyDescent="0.2">
      <c r="A2439" s="481"/>
      <c r="B2439" s="465" t="s">
        <v>382</v>
      </c>
      <c r="C2439" s="464"/>
      <c r="D2439" s="465" t="s">
        <v>386</v>
      </c>
      <c r="E2439" s="485"/>
      <c r="F2439" s="485"/>
    </row>
    <row r="2440" spans="1:6" s="463" customFormat="1" ht="12" hidden="1" x14ac:dyDescent="0.2">
      <c r="A2440" s="481"/>
      <c r="B2440" s="465" t="s">
        <v>383</v>
      </c>
      <c r="C2440" s="467"/>
      <c r="D2440" s="465"/>
      <c r="E2440" s="484"/>
      <c r="F2440" s="484"/>
    </row>
    <row r="2441" spans="1:6" s="463" customFormat="1" ht="12" hidden="1" x14ac:dyDescent="0.2">
      <c r="A2441" s="481"/>
      <c r="B2441" s="465" t="s">
        <v>384</v>
      </c>
      <c r="C2441" s="467"/>
      <c r="D2441" s="465"/>
      <c r="E2441" s="484"/>
      <c r="F2441" s="484"/>
    </row>
    <row r="2442" spans="1:6" hidden="1" x14ac:dyDescent="0.25">
      <c r="A2442" s="152"/>
      <c r="B2442" s="132"/>
      <c r="C2442" s="132"/>
      <c r="D2442" s="132"/>
      <c r="E2442" s="519"/>
    </row>
    <row r="2443" spans="1:6" ht="15.75" hidden="1" x14ac:dyDescent="0.25">
      <c r="A2443" s="141" t="s">
        <v>296</v>
      </c>
      <c r="B2443" s="141" t="s">
        <v>447</v>
      </c>
      <c r="C2443" s="2"/>
      <c r="D2443" s="2"/>
    </row>
    <row r="2444" spans="1:6" ht="15.75" hidden="1" x14ac:dyDescent="0.25">
      <c r="A2444" s="141"/>
      <c r="B2444" s="141"/>
      <c r="C2444" s="629" t="s">
        <v>448</v>
      </c>
      <c r="D2444" s="2"/>
    </row>
    <row r="2445" spans="1:6" ht="15.75" hidden="1" x14ac:dyDescent="0.25">
      <c r="A2445" s="141"/>
      <c r="B2445" s="141"/>
      <c r="C2445" s="505" t="s">
        <v>191</v>
      </c>
      <c r="D2445" s="2"/>
    </row>
    <row r="2446" spans="1:6" ht="15.75" hidden="1" x14ac:dyDescent="0.25">
      <c r="A2446" s="141"/>
      <c r="B2446" s="141"/>
      <c r="C2446" s="505"/>
      <c r="D2446" s="2"/>
    </row>
    <row r="2447" spans="1:6" hidden="1" x14ac:dyDescent="0.25">
      <c r="A2447" s="483" t="s">
        <v>6</v>
      </c>
      <c r="B2447" s="2"/>
      <c r="C2447" s="2"/>
      <c r="D2447" s="2"/>
      <c r="E2447" s="522"/>
    </row>
    <row r="2448" spans="1:6" hidden="1" x14ac:dyDescent="0.25">
      <c r="A2448" s="482" t="s">
        <v>340</v>
      </c>
      <c r="B2448" s="1"/>
      <c r="C2448" s="1"/>
      <c r="D2448" s="1"/>
      <c r="E2448" s="463"/>
    </row>
    <row r="2449" spans="1:5" hidden="1" x14ac:dyDescent="0.25">
      <c r="A2449" s="482"/>
      <c r="B2449" s="1"/>
      <c r="C2449" s="1"/>
      <c r="D2449" s="1"/>
      <c r="E2449" s="463"/>
    </row>
    <row r="2450" spans="1:5" hidden="1" x14ac:dyDescent="0.25">
      <c r="A2450" s="132" t="s">
        <v>7</v>
      </c>
      <c r="B2450" s="1"/>
      <c r="C2450" s="1"/>
      <c r="D2450" s="1"/>
      <c r="E2450" s="463"/>
    </row>
    <row r="2451" spans="1:5" hidden="1" x14ac:dyDescent="0.25">
      <c r="A2451" s="852" t="s">
        <v>434</v>
      </c>
      <c r="B2451" s="852"/>
      <c r="C2451" s="852"/>
      <c r="D2451" s="852"/>
      <c r="E2451" s="852"/>
    </row>
    <row r="2452" spans="1:5" hidden="1" x14ac:dyDescent="0.25">
      <c r="A2452" s="469" t="s">
        <v>8</v>
      </c>
      <c r="B2452" s="469" t="s">
        <v>9</v>
      </c>
      <c r="C2452" s="469" t="s">
        <v>10</v>
      </c>
      <c r="D2452" s="469" t="s">
        <v>11</v>
      </c>
      <c r="E2452" s="469" t="s">
        <v>12</v>
      </c>
    </row>
    <row r="2453" spans="1:5" hidden="1" x14ac:dyDescent="0.25">
      <c r="A2453" s="25">
        <v>1</v>
      </c>
      <c r="B2453" s="25">
        <v>2</v>
      </c>
      <c r="C2453" s="25">
        <v>3</v>
      </c>
      <c r="D2453" s="25">
        <v>4</v>
      </c>
      <c r="E2453" s="523">
        <v>5</v>
      </c>
    </row>
    <row r="2454" spans="1:5" hidden="1" x14ac:dyDescent="0.25">
      <c r="A2454" s="487" t="s">
        <v>13</v>
      </c>
      <c r="B2454" s="468" t="s">
        <v>344</v>
      </c>
      <c r="C2454" s="442"/>
      <c r="D2454" s="442"/>
      <c r="E2454" s="580"/>
    </row>
    <row r="2455" spans="1:5" ht="21.75" hidden="1" x14ac:dyDescent="0.25">
      <c r="A2455" s="597" t="s">
        <v>15</v>
      </c>
      <c r="B2455" s="596" t="s">
        <v>347</v>
      </c>
      <c r="C2455" s="508" t="s">
        <v>292</v>
      </c>
      <c r="D2455" s="598" t="s">
        <v>349</v>
      </c>
      <c r="E2455" s="634">
        <f>E2456+E2457</f>
        <v>5.8599999999999994</v>
      </c>
    </row>
    <row r="2456" spans="1:5" ht="16.5" hidden="1" x14ac:dyDescent="0.25">
      <c r="A2456" s="723" t="s">
        <v>16</v>
      </c>
      <c r="B2456" s="730" t="s">
        <v>346</v>
      </c>
      <c r="C2456" s="508" t="s">
        <v>292</v>
      </c>
      <c r="D2456" s="600" t="s">
        <v>350</v>
      </c>
      <c r="E2456" s="635">
        <v>1.44</v>
      </c>
    </row>
    <row r="2457" spans="1:5" ht="16.5" hidden="1" x14ac:dyDescent="0.25">
      <c r="A2457" s="853" t="s">
        <v>17</v>
      </c>
      <c r="B2457" s="730" t="s">
        <v>345</v>
      </c>
      <c r="C2457" s="508" t="s">
        <v>292</v>
      </c>
      <c r="D2457" s="631" t="s">
        <v>409</v>
      </c>
      <c r="E2457" s="636">
        <f>ROUND(0.09+((44951*E2463+226*E2471+106.1*E2467+509*E2475)/(44.84*1000))/10,2)</f>
        <v>4.42</v>
      </c>
    </row>
    <row r="2458" spans="1:5" ht="25.5" hidden="1" x14ac:dyDescent="0.25">
      <c r="A2458" s="853"/>
      <c r="B2458" s="509" t="s">
        <v>345</v>
      </c>
      <c r="C2458" s="640" t="s">
        <v>348</v>
      </c>
      <c r="D2458" s="510" t="s">
        <v>435</v>
      </c>
      <c r="E2458" s="581"/>
    </row>
    <row r="2459" spans="1:5" hidden="1" x14ac:dyDescent="0.25">
      <c r="A2459" s="488" t="s">
        <v>21</v>
      </c>
      <c r="B2459" s="337" t="s">
        <v>351</v>
      </c>
      <c r="C2459" s="31"/>
      <c r="D2459" s="337"/>
      <c r="E2459" s="529"/>
    </row>
    <row r="2460" spans="1:5" hidden="1" x14ac:dyDescent="0.25">
      <c r="A2460" s="47" t="s">
        <v>23</v>
      </c>
      <c r="B2460" s="506" t="s">
        <v>24</v>
      </c>
      <c r="C2460" s="49"/>
      <c r="D2460" s="49"/>
      <c r="E2460" s="530"/>
    </row>
    <row r="2461" spans="1:5" hidden="1" x14ac:dyDescent="0.25">
      <c r="A2461" s="25" t="s">
        <v>25</v>
      </c>
      <c r="B2461" s="24" t="s">
        <v>26</v>
      </c>
      <c r="C2461" s="628" t="s">
        <v>328</v>
      </c>
      <c r="D2461" s="24"/>
      <c r="E2461" s="582">
        <v>27.81</v>
      </c>
    </row>
    <row r="2462" spans="1:5" hidden="1" x14ac:dyDescent="0.25">
      <c r="A2462" s="25" t="s">
        <v>27</v>
      </c>
      <c r="B2462" s="24" t="s">
        <v>28</v>
      </c>
      <c r="C2462" s="616" t="s">
        <v>328</v>
      </c>
      <c r="D2462" s="24"/>
      <c r="E2462" s="583">
        <v>12.56</v>
      </c>
    </row>
    <row r="2463" spans="1:5" hidden="1" x14ac:dyDescent="0.25">
      <c r="A2463" s="25" t="s">
        <v>29</v>
      </c>
      <c r="B2463" s="38" t="s">
        <v>30</v>
      </c>
      <c r="C2463" s="616" t="s">
        <v>328</v>
      </c>
      <c r="D2463" s="24"/>
      <c r="E2463" s="584">
        <f>E2461+E2462</f>
        <v>40.369999999999997</v>
      </c>
    </row>
    <row r="2464" spans="1:5" hidden="1" x14ac:dyDescent="0.25">
      <c r="A2464" s="36" t="s">
        <v>31</v>
      </c>
      <c r="B2464" s="41" t="s">
        <v>265</v>
      </c>
      <c r="C2464" s="42"/>
      <c r="D2464" s="42"/>
      <c r="E2464" s="531"/>
    </row>
    <row r="2465" spans="1:5" hidden="1" x14ac:dyDescent="0.25">
      <c r="A2465" s="25" t="s">
        <v>35</v>
      </c>
      <c r="B2465" s="24" t="s">
        <v>26</v>
      </c>
      <c r="C2465" s="617" t="s">
        <v>399</v>
      </c>
      <c r="D2465" s="24"/>
      <c r="E2465" s="582">
        <v>111.81</v>
      </c>
    </row>
    <row r="2466" spans="1:5" hidden="1" x14ac:dyDescent="0.25">
      <c r="A2466" s="25" t="s">
        <v>36</v>
      </c>
      <c r="B2466" s="24" t="s">
        <v>28</v>
      </c>
      <c r="C2466" s="618" t="s">
        <v>399</v>
      </c>
      <c r="D2466" s="24"/>
      <c r="E2466" s="582">
        <v>0.13</v>
      </c>
    </row>
    <row r="2467" spans="1:5" hidden="1" x14ac:dyDescent="0.25">
      <c r="A2467" s="25" t="s">
        <v>37</v>
      </c>
      <c r="B2467" s="24" t="s">
        <v>30</v>
      </c>
      <c r="C2467" s="618" t="s">
        <v>399</v>
      </c>
      <c r="D2467" s="24"/>
      <c r="E2467" s="708">
        <f>+E2465+E2466</f>
        <v>111.94</v>
      </c>
    </row>
    <row r="2468" spans="1:5" hidden="1" x14ac:dyDescent="0.25">
      <c r="A2468" s="36" t="s">
        <v>34</v>
      </c>
      <c r="B2468" s="41" t="s">
        <v>266</v>
      </c>
      <c r="C2468" s="420"/>
      <c r="D2468" s="42"/>
      <c r="E2468" s="531"/>
    </row>
    <row r="2469" spans="1:5" hidden="1" x14ac:dyDescent="0.25">
      <c r="A2469" s="25" t="s">
        <v>38</v>
      </c>
      <c r="B2469" s="24" t="s">
        <v>26</v>
      </c>
      <c r="C2469" s="618" t="s">
        <v>399</v>
      </c>
      <c r="D2469" s="24"/>
      <c r="E2469" s="582">
        <v>135.76</v>
      </c>
    </row>
    <row r="2470" spans="1:5" hidden="1" x14ac:dyDescent="0.25">
      <c r="A2470" s="25" t="s">
        <v>39</v>
      </c>
      <c r="B2470" s="24" t="s">
        <v>28</v>
      </c>
      <c r="C2470" s="618" t="s">
        <v>399</v>
      </c>
      <c r="D2470" s="24"/>
      <c r="E2470" s="582"/>
    </row>
    <row r="2471" spans="1:5" hidden="1" x14ac:dyDescent="0.25">
      <c r="A2471" s="25" t="s">
        <v>40</v>
      </c>
      <c r="B2471" s="24" t="s">
        <v>30</v>
      </c>
      <c r="C2471" s="618" t="s">
        <v>399</v>
      </c>
      <c r="D2471" s="24"/>
      <c r="E2471" s="584">
        <f>+E2469+E2470</f>
        <v>135.76</v>
      </c>
    </row>
    <row r="2472" spans="1:5" hidden="1" x14ac:dyDescent="0.25">
      <c r="A2472" s="37" t="s">
        <v>352</v>
      </c>
      <c r="B2472" s="45" t="s">
        <v>103</v>
      </c>
      <c r="C2472" s="46"/>
      <c r="D2472" s="46"/>
      <c r="E2472" s="533"/>
    </row>
    <row r="2473" spans="1:5" hidden="1" x14ac:dyDescent="0.25">
      <c r="A2473" s="29" t="s">
        <v>353</v>
      </c>
      <c r="B2473" s="44" t="s">
        <v>26</v>
      </c>
      <c r="C2473" s="618" t="s">
        <v>399</v>
      </c>
      <c r="D2473" s="24"/>
      <c r="E2473" s="582">
        <v>151.41</v>
      </c>
    </row>
    <row r="2474" spans="1:5" hidden="1" x14ac:dyDescent="0.25">
      <c r="A2474" s="29" t="s">
        <v>354</v>
      </c>
      <c r="B2474" s="24" t="s">
        <v>28</v>
      </c>
      <c r="C2474" s="618" t="s">
        <v>399</v>
      </c>
      <c r="D2474" s="24"/>
      <c r="E2474" s="583">
        <v>14.25</v>
      </c>
    </row>
    <row r="2475" spans="1:5" hidden="1" x14ac:dyDescent="0.25">
      <c r="A2475" s="489" t="s">
        <v>355</v>
      </c>
      <c r="B2475" s="38" t="s">
        <v>30</v>
      </c>
      <c r="C2475" s="618" t="s">
        <v>399</v>
      </c>
      <c r="D2475" s="24"/>
      <c r="E2475" s="584">
        <f>+E2473+E2474</f>
        <v>165.66</v>
      </c>
    </row>
    <row r="2476" spans="1:5" hidden="1" x14ac:dyDescent="0.25">
      <c r="A2476" s="490" t="s">
        <v>42</v>
      </c>
      <c r="B2476" s="471" t="s">
        <v>356</v>
      </c>
      <c r="C2476" s="52"/>
      <c r="D2476" s="52"/>
      <c r="E2476" s="534"/>
    </row>
    <row r="2477" spans="1:5" hidden="1" x14ac:dyDescent="0.25">
      <c r="A2477" s="25" t="s">
        <v>44</v>
      </c>
      <c r="B2477" s="24" t="s">
        <v>357</v>
      </c>
      <c r="C2477" s="24"/>
      <c r="D2477" s="24"/>
      <c r="E2477" s="523" t="s">
        <v>106</v>
      </c>
    </row>
    <row r="2478" spans="1:5" hidden="1" x14ac:dyDescent="0.25">
      <c r="A2478" s="25" t="s">
        <v>45</v>
      </c>
      <c r="B2478" s="24" t="s">
        <v>358</v>
      </c>
      <c r="C2478" s="508" t="s">
        <v>292</v>
      </c>
      <c r="D2478" s="24"/>
      <c r="E2478" s="524">
        <v>0</v>
      </c>
    </row>
    <row r="2479" spans="1:5" ht="22.5" hidden="1" x14ac:dyDescent="0.25">
      <c r="A2479" s="491" t="s">
        <v>46</v>
      </c>
      <c r="B2479" s="503" t="s">
        <v>359</v>
      </c>
      <c r="C2479" s="508" t="s">
        <v>292</v>
      </c>
      <c r="D2479" s="495" t="s">
        <v>387</v>
      </c>
      <c r="E2479" s="637">
        <f>E2480+E2481</f>
        <v>5.8599999999999994</v>
      </c>
    </row>
    <row r="2480" spans="1:5" ht="16.5" hidden="1" x14ac:dyDescent="0.25">
      <c r="A2480" s="25" t="s">
        <v>48</v>
      </c>
      <c r="B2480" s="24" t="s">
        <v>49</v>
      </c>
      <c r="C2480" s="508" t="s">
        <v>292</v>
      </c>
      <c r="D2480" s="600" t="s">
        <v>388</v>
      </c>
      <c r="E2480" s="532">
        <f>E2456</f>
        <v>1.44</v>
      </c>
    </row>
    <row r="2481" spans="1:5" ht="16.5" hidden="1" x14ac:dyDescent="0.25">
      <c r="A2481" s="854" t="s">
        <v>50</v>
      </c>
      <c r="B2481" s="472" t="s">
        <v>51</v>
      </c>
      <c r="C2481" s="511" t="s">
        <v>292</v>
      </c>
      <c r="D2481" s="600" t="s">
        <v>389</v>
      </c>
      <c r="E2481" s="536">
        <f>E2457</f>
        <v>4.42</v>
      </c>
    </row>
    <row r="2482" spans="1:5" ht="25.5" hidden="1" x14ac:dyDescent="0.25">
      <c r="A2482" s="855"/>
      <c r="B2482" s="509" t="s">
        <v>51</v>
      </c>
      <c r="C2482" s="512" t="s">
        <v>348</v>
      </c>
      <c r="D2482" s="510" t="s">
        <v>435</v>
      </c>
      <c r="E2482" s="585"/>
    </row>
    <row r="2483" spans="1:5" hidden="1" x14ac:dyDescent="0.25">
      <c r="A2483" s="25" t="s">
        <v>52</v>
      </c>
      <c r="B2483" s="492" t="s">
        <v>360</v>
      </c>
      <c r="C2483" s="33"/>
      <c r="D2483" s="33"/>
      <c r="E2483" s="529"/>
    </row>
    <row r="2484" spans="1:5" ht="18.75" hidden="1" x14ac:dyDescent="0.3">
      <c r="A2484" s="25" t="s">
        <v>54</v>
      </c>
      <c r="B2484" s="24" t="s">
        <v>361</v>
      </c>
      <c r="C2484" s="11" t="s">
        <v>362</v>
      </c>
      <c r="D2484" s="497" t="s">
        <v>390</v>
      </c>
      <c r="E2484" s="524">
        <v>10.54</v>
      </c>
    </row>
    <row r="2485" spans="1:5" ht="16.5" hidden="1" x14ac:dyDescent="0.3">
      <c r="A2485" s="25" t="s">
        <v>57</v>
      </c>
      <c r="B2485" s="24" t="s">
        <v>58</v>
      </c>
      <c r="C2485" s="508" t="s">
        <v>292</v>
      </c>
      <c r="D2485" s="498" t="s">
        <v>389</v>
      </c>
      <c r="E2485" s="532">
        <f>E2481</f>
        <v>4.42</v>
      </c>
    </row>
    <row r="2486" spans="1:5" hidden="1" x14ac:dyDescent="0.25">
      <c r="A2486" s="34" t="s">
        <v>60</v>
      </c>
      <c r="B2486" s="504" t="s">
        <v>61</v>
      </c>
      <c r="C2486" s="502"/>
      <c r="D2486" s="502"/>
      <c r="E2486" s="586"/>
    </row>
    <row r="2487" spans="1:5" ht="16.5" hidden="1" x14ac:dyDescent="0.25">
      <c r="A2487" s="602" t="s">
        <v>62</v>
      </c>
      <c r="B2487" s="601" t="s">
        <v>363</v>
      </c>
      <c r="C2487" s="508" t="s">
        <v>292</v>
      </c>
      <c r="D2487" s="600" t="s">
        <v>391</v>
      </c>
      <c r="E2487" s="638">
        <f>E2488+E2489</f>
        <v>2.0383617021276592</v>
      </c>
    </row>
    <row r="2488" spans="1:5" ht="16.5" hidden="1" x14ac:dyDescent="0.25">
      <c r="A2488" s="27" t="s">
        <v>63</v>
      </c>
      <c r="B2488" s="642" t="s">
        <v>64</v>
      </c>
      <c r="C2488" s="508" t="s">
        <v>292</v>
      </c>
      <c r="D2488" s="600" t="s">
        <v>392</v>
      </c>
      <c r="E2488" s="529">
        <v>0.79</v>
      </c>
    </row>
    <row r="2489" spans="1:5" ht="16.5" hidden="1" x14ac:dyDescent="0.25">
      <c r="A2489" s="856" t="s">
        <v>65</v>
      </c>
      <c r="B2489" s="603" t="s">
        <v>66</v>
      </c>
      <c r="C2489" s="508" t="s">
        <v>292</v>
      </c>
      <c r="D2489" s="630" t="s">
        <v>408</v>
      </c>
      <c r="E2489" s="514">
        <f>0.12+(7.24*E2455)/37.6</f>
        <v>1.2483617021276592</v>
      </c>
    </row>
    <row r="2490" spans="1:5" hidden="1" x14ac:dyDescent="0.25">
      <c r="A2490" s="857"/>
      <c r="B2490" s="619" t="s">
        <v>66</v>
      </c>
      <c r="C2490" s="513" t="s">
        <v>348</v>
      </c>
      <c r="D2490" s="641" t="s">
        <v>436</v>
      </c>
      <c r="E2490" s="587"/>
    </row>
    <row r="2491" spans="1:5" hidden="1" x14ac:dyDescent="0.25">
      <c r="A2491" s="470" t="s">
        <v>67</v>
      </c>
      <c r="B2491" s="473" t="s">
        <v>364</v>
      </c>
      <c r="C2491" s="9"/>
      <c r="D2491" s="24"/>
      <c r="E2491" s="524"/>
    </row>
    <row r="2492" spans="1:5" ht="18.75" hidden="1" x14ac:dyDescent="0.3">
      <c r="A2492" s="470" t="s">
        <v>69</v>
      </c>
      <c r="B2492" s="473" t="s">
        <v>361</v>
      </c>
      <c r="C2492" s="515" t="s">
        <v>362</v>
      </c>
      <c r="D2492" s="497" t="s">
        <v>393</v>
      </c>
      <c r="E2492" s="532">
        <v>5.24</v>
      </c>
    </row>
    <row r="2493" spans="1:5" ht="16.5" hidden="1" x14ac:dyDescent="0.3">
      <c r="A2493" s="470" t="s">
        <v>70</v>
      </c>
      <c r="B2493" s="473" t="s">
        <v>365</v>
      </c>
      <c r="C2493" s="508" t="s">
        <v>292</v>
      </c>
      <c r="D2493" s="498" t="s">
        <v>394</v>
      </c>
      <c r="E2493" s="532">
        <f>E2489</f>
        <v>1.2483617021276592</v>
      </c>
    </row>
    <row r="2494" spans="1:5" hidden="1" x14ac:dyDescent="0.25">
      <c r="A2494" s="126" t="s">
        <v>72</v>
      </c>
      <c r="B2494" s="504" t="s">
        <v>366</v>
      </c>
      <c r="C2494" s="516"/>
      <c r="D2494" s="502"/>
      <c r="E2494" s="586"/>
    </row>
    <row r="2495" spans="1:5" ht="16.5" hidden="1" x14ac:dyDescent="0.3">
      <c r="A2495" s="474" t="s">
        <v>79</v>
      </c>
      <c r="B2495" s="473" t="s">
        <v>367</v>
      </c>
      <c r="C2495" s="508" t="s">
        <v>292</v>
      </c>
      <c r="D2495" s="497" t="s">
        <v>370</v>
      </c>
      <c r="E2495" s="637">
        <v>0.1</v>
      </c>
    </row>
    <row r="2496" spans="1:5" ht="18.75" hidden="1" x14ac:dyDescent="0.3">
      <c r="A2496" s="474" t="s">
        <v>368</v>
      </c>
      <c r="B2496" s="626" t="s">
        <v>400</v>
      </c>
      <c r="C2496" s="627" t="s">
        <v>401</v>
      </c>
      <c r="D2496" s="621" t="s">
        <v>403</v>
      </c>
      <c r="E2496" s="462">
        <v>14.96</v>
      </c>
    </row>
    <row r="2497" spans="1:5" ht="18.75" hidden="1" x14ac:dyDescent="0.3">
      <c r="A2497" s="474" t="s">
        <v>369</v>
      </c>
      <c r="B2497" s="626" t="s">
        <v>402</v>
      </c>
      <c r="C2497" s="627" t="s">
        <v>401</v>
      </c>
      <c r="D2497" s="620" t="s">
        <v>404</v>
      </c>
      <c r="E2497" s="462">
        <v>0.75</v>
      </c>
    </row>
    <row r="2498" spans="1:5" ht="33" hidden="1" x14ac:dyDescent="0.25">
      <c r="A2498" s="493" t="s">
        <v>115</v>
      </c>
      <c r="B2498" s="622" t="s">
        <v>371</v>
      </c>
      <c r="C2498" s="623"/>
      <c r="D2498" s="624"/>
      <c r="E2498" s="623"/>
    </row>
    <row r="2499" spans="1:5" hidden="1" x14ac:dyDescent="0.25">
      <c r="A2499" s="494" t="s">
        <v>80</v>
      </c>
      <c r="B2499" s="477" t="s">
        <v>81</v>
      </c>
      <c r="C2499" s="508" t="s">
        <v>292</v>
      </c>
      <c r="D2499" s="625"/>
      <c r="E2499" s="639">
        <v>-0.02</v>
      </c>
    </row>
    <row r="2500" spans="1:5" hidden="1" x14ac:dyDescent="0.25">
      <c r="A2500" s="494" t="s">
        <v>82</v>
      </c>
      <c r="B2500" s="477" t="s">
        <v>83</v>
      </c>
      <c r="C2500" s="508" t="s">
        <v>292</v>
      </c>
      <c r="D2500" s="625"/>
      <c r="E2500" s="639">
        <v>-0.01</v>
      </c>
    </row>
    <row r="2501" spans="1:5" ht="21" hidden="1" x14ac:dyDescent="0.25">
      <c r="A2501" s="605" t="s">
        <v>84</v>
      </c>
      <c r="B2501" s="604" t="s">
        <v>372</v>
      </c>
      <c r="C2501" s="508" t="s">
        <v>292</v>
      </c>
      <c r="D2501" s="462"/>
      <c r="E2501" s="589">
        <f>ROUND(E2479+E2487+E2495+E2499+E2500, 2)</f>
        <v>7.97</v>
      </c>
    </row>
    <row r="2502" spans="1:5" hidden="1" x14ac:dyDescent="0.25">
      <c r="A2502" s="365" t="s">
        <v>85</v>
      </c>
      <c r="B2502" s="518" t="s">
        <v>86</v>
      </c>
      <c r="C2502" s="508" t="s">
        <v>373</v>
      </c>
      <c r="D2502" s="462"/>
      <c r="E2502" s="462">
        <v>0</v>
      </c>
    </row>
    <row r="2503" spans="1:5" hidden="1" x14ac:dyDescent="0.25">
      <c r="A2503" s="670" t="s">
        <v>87</v>
      </c>
      <c r="B2503" s="671" t="s">
        <v>88</v>
      </c>
      <c r="C2503" s="508" t="s">
        <v>292</v>
      </c>
      <c r="D2503" s="499"/>
      <c r="E2503" s="540">
        <f>E2501</f>
        <v>7.97</v>
      </c>
    </row>
    <row r="2504" spans="1:5" hidden="1" x14ac:dyDescent="0.25">
      <c r="A2504" s="672" t="s">
        <v>89</v>
      </c>
      <c r="B2504" s="671" t="s">
        <v>444</v>
      </c>
      <c r="C2504" s="508" t="s">
        <v>292</v>
      </c>
      <c r="D2504" s="499"/>
      <c r="E2504" s="538">
        <f>E2503*1.09</f>
        <v>8.6873000000000005</v>
      </c>
    </row>
    <row r="2505" spans="1:5" hidden="1" x14ac:dyDescent="0.25">
      <c r="A2505" s="721" t="s">
        <v>91</v>
      </c>
      <c r="B2505" s="722" t="s">
        <v>92</v>
      </c>
      <c r="C2505" s="508" t="s">
        <v>292</v>
      </c>
      <c r="D2505" s="499"/>
      <c r="E2505" s="709">
        <v>8.19</v>
      </c>
    </row>
    <row r="2506" spans="1:5" hidden="1" x14ac:dyDescent="0.25">
      <c r="A2506" s="475" t="s">
        <v>93</v>
      </c>
      <c r="B2506" s="476" t="s">
        <v>374</v>
      </c>
      <c r="C2506" s="517" t="s">
        <v>95</v>
      </c>
      <c r="D2506" s="499"/>
      <c r="E2506" s="668">
        <f>(E2501/E2505)*100-100</f>
        <v>-2.6862026862026909</v>
      </c>
    </row>
    <row r="2507" spans="1:5" hidden="1" x14ac:dyDescent="0.25">
      <c r="A2507" s="494" t="s">
        <v>96</v>
      </c>
      <c r="B2507" s="477" t="s">
        <v>97</v>
      </c>
      <c r="C2507" s="130" t="s">
        <v>375</v>
      </c>
      <c r="D2507" s="500"/>
      <c r="E2507" s="666">
        <v>988.5</v>
      </c>
    </row>
    <row r="2508" spans="1:5" hidden="1" x14ac:dyDescent="0.25">
      <c r="A2508" s="494" t="s">
        <v>99</v>
      </c>
      <c r="B2508" s="477" t="s">
        <v>376</v>
      </c>
      <c r="C2508" s="130" t="s">
        <v>375</v>
      </c>
      <c r="D2508" s="462"/>
      <c r="E2508" s="666">
        <v>988.5</v>
      </c>
    </row>
    <row r="2509" spans="1:5" hidden="1" x14ac:dyDescent="0.25">
      <c r="A2509" s="478" t="s">
        <v>101</v>
      </c>
      <c r="B2509" s="477" t="s">
        <v>377</v>
      </c>
      <c r="C2509" s="130" t="s">
        <v>375</v>
      </c>
      <c r="D2509" s="501"/>
      <c r="E2509" s="667">
        <v>644.81399999999996</v>
      </c>
    </row>
    <row r="2510" spans="1:5" hidden="1" x14ac:dyDescent="0.25">
      <c r="A2510" s="478">
        <v>14</v>
      </c>
      <c r="B2510" s="477" t="s">
        <v>378</v>
      </c>
      <c r="C2510" s="125" t="s">
        <v>375</v>
      </c>
      <c r="D2510" s="462"/>
      <c r="E2510" s="462">
        <v>0</v>
      </c>
    </row>
    <row r="2511" spans="1:5" hidden="1" x14ac:dyDescent="0.25">
      <c r="B2511" s="643"/>
    </row>
    <row r="2512" spans="1:5" hidden="1" x14ac:dyDescent="0.25"/>
    <row r="2513" spans="1:6" hidden="1" x14ac:dyDescent="0.25">
      <c r="B2513" t="s">
        <v>189</v>
      </c>
      <c r="C2513" t="s">
        <v>193</v>
      </c>
      <c r="D2513" s="146" t="s">
        <v>190</v>
      </c>
    </row>
    <row r="2514" spans="1:6" hidden="1" x14ac:dyDescent="0.25">
      <c r="C2514" s="153" t="s">
        <v>194</v>
      </c>
    </row>
    <row r="2515" spans="1:6" s="463" customFormat="1" ht="12.75" hidden="1" x14ac:dyDescent="0.2">
      <c r="D2515" s="592" t="s">
        <v>332</v>
      </c>
      <c r="E2515" s="592"/>
      <c r="F2515" s="486"/>
    </row>
    <row r="2516" spans="1:6" s="463" customFormat="1" ht="12.75" hidden="1" x14ac:dyDescent="0.2">
      <c r="D2516" s="851" t="s">
        <v>333</v>
      </c>
      <c r="E2516" s="851"/>
      <c r="F2516" s="479"/>
    </row>
    <row r="2517" spans="1:6" s="463" customFormat="1" ht="12.75" hidden="1" x14ac:dyDescent="0.2">
      <c r="D2517" s="851" t="s">
        <v>334</v>
      </c>
      <c r="E2517" s="851"/>
      <c r="F2517" s="479"/>
    </row>
    <row r="2518" spans="1:6" s="463" customFormat="1" ht="12.75" hidden="1" x14ac:dyDescent="0.2">
      <c r="D2518" s="733" t="s">
        <v>343</v>
      </c>
      <c r="E2518" s="520"/>
      <c r="F2518" s="480"/>
    </row>
    <row r="2519" spans="1:6" s="463" customFormat="1" ht="11.25" hidden="1" x14ac:dyDescent="0.2"/>
    <row r="2520" spans="1:6" s="463" customFormat="1" ht="12" hidden="1" x14ac:dyDescent="0.2">
      <c r="A2520" s="481"/>
      <c r="B2520" s="465" t="s">
        <v>335</v>
      </c>
      <c r="C2520" s="464"/>
      <c r="D2520" s="465" t="s">
        <v>336</v>
      </c>
      <c r="E2520" s="484"/>
      <c r="F2520" s="484"/>
    </row>
    <row r="2521" spans="1:6" s="463" customFormat="1" ht="12" hidden="1" x14ac:dyDescent="0.2">
      <c r="A2521" s="481"/>
      <c r="B2521" s="464" t="s">
        <v>337</v>
      </c>
      <c r="C2521" s="464"/>
      <c r="D2521" s="465" t="s">
        <v>451</v>
      </c>
      <c r="E2521" s="484"/>
      <c r="F2521" s="484"/>
    </row>
    <row r="2522" spans="1:6" s="463" customFormat="1" ht="12" hidden="1" x14ac:dyDescent="0.2">
      <c r="A2522" s="481"/>
      <c r="B2522" s="465" t="s">
        <v>379</v>
      </c>
      <c r="C2522" s="466"/>
      <c r="D2522" s="465" t="s">
        <v>339</v>
      </c>
      <c r="E2522" s="484"/>
      <c r="F2522" s="484"/>
    </row>
    <row r="2523" spans="1:6" s="463" customFormat="1" ht="12" hidden="1" x14ac:dyDescent="0.2">
      <c r="A2523" s="481"/>
      <c r="B2523" s="465" t="s">
        <v>380</v>
      </c>
      <c r="C2523" s="464"/>
      <c r="D2523" s="465" t="s">
        <v>385</v>
      </c>
      <c r="E2523" s="484"/>
      <c r="F2523" s="484"/>
    </row>
    <row r="2524" spans="1:6" s="463" customFormat="1" ht="12" hidden="1" x14ac:dyDescent="0.2">
      <c r="A2524" s="481"/>
      <c r="B2524" s="465" t="s">
        <v>381</v>
      </c>
      <c r="C2524" s="464"/>
      <c r="D2524" s="465" t="s">
        <v>382</v>
      </c>
      <c r="E2524" s="484"/>
      <c r="F2524" s="484"/>
    </row>
    <row r="2525" spans="1:6" s="463" customFormat="1" ht="12" hidden="1" x14ac:dyDescent="0.2">
      <c r="A2525" s="481"/>
      <c r="B2525" s="465" t="s">
        <v>382</v>
      </c>
      <c r="C2525" s="464"/>
      <c r="D2525" s="465" t="s">
        <v>452</v>
      </c>
      <c r="E2525" s="485"/>
      <c r="F2525" s="485"/>
    </row>
    <row r="2526" spans="1:6" s="463" customFormat="1" ht="12" hidden="1" x14ac:dyDescent="0.2">
      <c r="A2526" s="481"/>
      <c r="B2526" s="465" t="s">
        <v>383</v>
      </c>
      <c r="C2526" s="467"/>
      <c r="D2526" s="465"/>
      <c r="E2526" s="484"/>
      <c r="F2526" s="484"/>
    </row>
    <row r="2527" spans="1:6" s="463" customFormat="1" ht="12" hidden="1" x14ac:dyDescent="0.2">
      <c r="A2527" s="481"/>
      <c r="B2527" s="465" t="s">
        <v>384</v>
      </c>
      <c r="C2527" s="467"/>
      <c r="D2527" s="465"/>
      <c r="E2527" s="484"/>
      <c r="F2527" s="484"/>
    </row>
    <row r="2528" spans="1:6" hidden="1" x14ac:dyDescent="0.25">
      <c r="A2528" s="152"/>
      <c r="B2528" s="132"/>
      <c r="C2528" s="132"/>
      <c r="D2528" s="132"/>
      <c r="E2528" s="519"/>
    </row>
    <row r="2529" spans="1:5" ht="15.75" hidden="1" x14ac:dyDescent="0.25">
      <c r="A2529" s="141" t="s">
        <v>296</v>
      </c>
      <c r="B2529" s="141" t="s">
        <v>456</v>
      </c>
      <c r="C2529" s="2"/>
      <c r="D2529" s="2"/>
    </row>
    <row r="2530" spans="1:5" ht="15.75" hidden="1" x14ac:dyDescent="0.25">
      <c r="A2530" s="141"/>
      <c r="B2530" s="141"/>
      <c r="C2530" s="629" t="s">
        <v>453</v>
      </c>
      <c r="D2530" s="2"/>
    </row>
    <row r="2531" spans="1:5" ht="15.75" hidden="1" x14ac:dyDescent="0.25">
      <c r="A2531" s="141"/>
      <c r="B2531" s="141"/>
      <c r="C2531" s="505" t="s">
        <v>191</v>
      </c>
      <c r="D2531" s="2"/>
    </row>
    <row r="2532" spans="1:5" ht="15.75" hidden="1" x14ac:dyDescent="0.25">
      <c r="A2532" s="141"/>
      <c r="B2532" s="141"/>
      <c r="C2532" s="505"/>
      <c r="D2532" s="2"/>
    </row>
    <row r="2533" spans="1:5" hidden="1" x14ac:dyDescent="0.25">
      <c r="A2533" s="483" t="s">
        <v>6</v>
      </c>
      <c r="B2533" s="2"/>
      <c r="C2533" s="2"/>
      <c r="D2533" s="2"/>
      <c r="E2533" s="522"/>
    </row>
    <row r="2534" spans="1:5" hidden="1" x14ac:dyDescent="0.25">
      <c r="A2534" s="482" t="s">
        <v>340</v>
      </c>
      <c r="B2534" s="1"/>
      <c r="C2534" s="1"/>
      <c r="D2534" s="1"/>
      <c r="E2534" s="463"/>
    </row>
    <row r="2535" spans="1:5" hidden="1" x14ac:dyDescent="0.25">
      <c r="A2535" s="482"/>
      <c r="B2535" s="1"/>
      <c r="C2535" s="1"/>
      <c r="D2535" s="1"/>
      <c r="E2535" s="463"/>
    </row>
    <row r="2536" spans="1:5" hidden="1" x14ac:dyDescent="0.25">
      <c r="A2536" s="132" t="s">
        <v>7</v>
      </c>
      <c r="B2536" s="1"/>
      <c r="C2536" s="1"/>
      <c r="D2536" s="1"/>
      <c r="E2536" s="463"/>
    </row>
    <row r="2537" spans="1:5" hidden="1" x14ac:dyDescent="0.25">
      <c r="A2537" s="852" t="s">
        <v>434</v>
      </c>
      <c r="B2537" s="852"/>
      <c r="C2537" s="852"/>
      <c r="D2537" s="852"/>
      <c r="E2537" s="852"/>
    </row>
    <row r="2538" spans="1:5" hidden="1" x14ac:dyDescent="0.25">
      <c r="A2538" s="469" t="s">
        <v>8</v>
      </c>
      <c r="B2538" s="469" t="s">
        <v>9</v>
      </c>
      <c r="C2538" s="469" t="s">
        <v>10</v>
      </c>
      <c r="D2538" s="469" t="s">
        <v>11</v>
      </c>
      <c r="E2538" s="469" t="s">
        <v>12</v>
      </c>
    </row>
    <row r="2539" spans="1:5" hidden="1" x14ac:dyDescent="0.25">
      <c r="A2539" s="25">
        <v>1</v>
      </c>
      <c r="B2539" s="25">
        <v>2</v>
      </c>
      <c r="C2539" s="25">
        <v>3</v>
      </c>
      <c r="D2539" s="25">
        <v>4</v>
      </c>
      <c r="E2539" s="523">
        <v>5</v>
      </c>
    </row>
    <row r="2540" spans="1:5" hidden="1" x14ac:dyDescent="0.25">
      <c r="A2540" s="487" t="s">
        <v>13</v>
      </c>
      <c r="B2540" s="468" t="s">
        <v>344</v>
      </c>
      <c r="C2540" s="442"/>
      <c r="D2540" s="442"/>
      <c r="E2540" s="580"/>
    </row>
    <row r="2541" spans="1:5" ht="21.75" hidden="1" x14ac:dyDescent="0.25">
      <c r="A2541" s="597" t="s">
        <v>15</v>
      </c>
      <c r="B2541" s="596" t="s">
        <v>347</v>
      </c>
      <c r="C2541" s="508" t="s">
        <v>292</v>
      </c>
      <c r="D2541" s="598" t="s">
        <v>349</v>
      </c>
      <c r="E2541" s="634">
        <f>E2542+E2543</f>
        <v>6.3900000000000006</v>
      </c>
    </row>
    <row r="2542" spans="1:5" ht="16.5" hidden="1" x14ac:dyDescent="0.25">
      <c r="A2542" s="732" t="s">
        <v>16</v>
      </c>
      <c r="B2542" s="738" t="s">
        <v>346</v>
      </c>
      <c r="C2542" s="508" t="s">
        <v>292</v>
      </c>
      <c r="D2542" s="600" t="s">
        <v>350</v>
      </c>
      <c r="E2542" s="635">
        <v>1.44</v>
      </c>
    </row>
    <row r="2543" spans="1:5" ht="16.5" hidden="1" x14ac:dyDescent="0.25">
      <c r="A2543" s="853" t="s">
        <v>17</v>
      </c>
      <c r="B2543" s="738" t="s">
        <v>345</v>
      </c>
      <c r="C2543" s="508" t="s">
        <v>292</v>
      </c>
      <c r="D2543" s="631" t="s">
        <v>409</v>
      </c>
      <c r="E2543" s="636">
        <f>ROUND(0.09+((44951*E2549+226*E2557+106.1*E2553+509*E2561)/(44.84*1000))/10,2)</f>
        <v>4.95</v>
      </c>
    </row>
    <row r="2544" spans="1:5" ht="25.5" hidden="1" x14ac:dyDescent="0.25">
      <c r="A2544" s="853"/>
      <c r="B2544" s="509" t="s">
        <v>345</v>
      </c>
      <c r="C2544" s="640" t="s">
        <v>348</v>
      </c>
      <c r="D2544" s="510" t="s">
        <v>435</v>
      </c>
      <c r="E2544" s="581"/>
    </row>
    <row r="2545" spans="1:5" hidden="1" x14ac:dyDescent="0.25">
      <c r="A2545" s="488" t="s">
        <v>21</v>
      </c>
      <c r="B2545" s="337" t="s">
        <v>351</v>
      </c>
      <c r="C2545" s="31"/>
      <c r="D2545" s="337"/>
      <c r="E2545" s="529"/>
    </row>
    <row r="2546" spans="1:5" hidden="1" x14ac:dyDescent="0.25">
      <c r="A2546" s="47" t="s">
        <v>23</v>
      </c>
      <c r="B2546" s="506" t="s">
        <v>24</v>
      </c>
      <c r="C2546" s="49"/>
      <c r="D2546" s="49"/>
      <c r="E2546" s="530"/>
    </row>
    <row r="2547" spans="1:5" hidden="1" x14ac:dyDescent="0.25">
      <c r="A2547" s="25" t="s">
        <v>25</v>
      </c>
      <c r="B2547" s="24" t="s">
        <v>26</v>
      </c>
      <c r="C2547" s="628" t="s">
        <v>328</v>
      </c>
      <c r="D2547" s="24"/>
      <c r="E2547" s="582">
        <v>33.08</v>
      </c>
    </row>
    <row r="2548" spans="1:5" hidden="1" x14ac:dyDescent="0.25">
      <c r="A2548" s="25" t="s">
        <v>27</v>
      </c>
      <c r="B2548" s="24" t="s">
        <v>28</v>
      </c>
      <c r="C2548" s="616" t="s">
        <v>328</v>
      </c>
      <c r="D2548" s="24"/>
      <c r="E2548" s="583">
        <v>12.56</v>
      </c>
    </row>
    <row r="2549" spans="1:5" hidden="1" x14ac:dyDescent="0.25">
      <c r="A2549" s="25" t="s">
        <v>29</v>
      </c>
      <c r="B2549" s="38" t="s">
        <v>30</v>
      </c>
      <c r="C2549" s="616" t="s">
        <v>328</v>
      </c>
      <c r="D2549" s="24"/>
      <c r="E2549" s="584">
        <f>E2547+E2548</f>
        <v>45.64</v>
      </c>
    </row>
    <row r="2550" spans="1:5" hidden="1" x14ac:dyDescent="0.25">
      <c r="A2550" s="36" t="s">
        <v>31</v>
      </c>
      <c r="B2550" s="41" t="s">
        <v>265</v>
      </c>
      <c r="C2550" s="42"/>
      <c r="D2550" s="42"/>
      <c r="E2550" s="531"/>
    </row>
    <row r="2551" spans="1:5" hidden="1" x14ac:dyDescent="0.25">
      <c r="A2551" s="25" t="s">
        <v>35</v>
      </c>
      <c r="B2551" s="24" t="s">
        <v>26</v>
      </c>
      <c r="C2551" s="617" t="s">
        <v>399</v>
      </c>
      <c r="D2551" s="24"/>
      <c r="E2551" s="582">
        <v>122.73</v>
      </c>
    </row>
    <row r="2552" spans="1:5" hidden="1" x14ac:dyDescent="0.25">
      <c r="A2552" s="25" t="s">
        <v>36</v>
      </c>
      <c r="B2552" s="24" t="s">
        <v>28</v>
      </c>
      <c r="C2552" s="618" t="s">
        <v>399</v>
      </c>
      <c r="D2552" s="24"/>
      <c r="E2552" s="582">
        <v>0</v>
      </c>
    </row>
    <row r="2553" spans="1:5" hidden="1" x14ac:dyDescent="0.25">
      <c r="A2553" s="25" t="s">
        <v>37</v>
      </c>
      <c r="B2553" s="24" t="s">
        <v>30</v>
      </c>
      <c r="C2553" s="618" t="s">
        <v>399</v>
      </c>
      <c r="D2553" s="24"/>
      <c r="E2553" s="708">
        <f>+E2551+E2552</f>
        <v>122.73</v>
      </c>
    </row>
    <row r="2554" spans="1:5" hidden="1" x14ac:dyDescent="0.25">
      <c r="A2554" s="36" t="s">
        <v>34</v>
      </c>
      <c r="B2554" s="41" t="s">
        <v>266</v>
      </c>
      <c r="C2554" s="420"/>
      <c r="D2554" s="42"/>
      <c r="E2554" s="531"/>
    </row>
    <row r="2555" spans="1:5" hidden="1" x14ac:dyDescent="0.25">
      <c r="A2555" s="25" t="s">
        <v>38</v>
      </c>
      <c r="B2555" s="24" t="s">
        <v>26</v>
      </c>
      <c r="C2555" s="618" t="s">
        <v>399</v>
      </c>
      <c r="D2555" s="24"/>
      <c r="E2555" s="582">
        <v>126.53</v>
      </c>
    </row>
    <row r="2556" spans="1:5" hidden="1" x14ac:dyDescent="0.25">
      <c r="A2556" s="25" t="s">
        <v>39</v>
      </c>
      <c r="B2556" s="24" t="s">
        <v>28</v>
      </c>
      <c r="C2556" s="618" t="s">
        <v>399</v>
      </c>
      <c r="D2556" s="24"/>
      <c r="E2556" s="582"/>
    </row>
    <row r="2557" spans="1:5" hidden="1" x14ac:dyDescent="0.25">
      <c r="A2557" s="25" t="s">
        <v>40</v>
      </c>
      <c r="B2557" s="24" t="s">
        <v>30</v>
      </c>
      <c r="C2557" s="618" t="s">
        <v>399</v>
      </c>
      <c r="D2557" s="24"/>
      <c r="E2557" s="584">
        <f>+E2555+E2556</f>
        <v>126.53</v>
      </c>
    </row>
    <row r="2558" spans="1:5" hidden="1" x14ac:dyDescent="0.25">
      <c r="A2558" s="37" t="s">
        <v>352</v>
      </c>
      <c r="B2558" s="45" t="s">
        <v>103</v>
      </c>
      <c r="C2558" s="46"/>
      <c r="D2558" s="46"/>
      <c r="E2558" s="533"/>
    </row>
    <row r="2559" spans="1:5" hidden="1" x14ac:dyDescent="0.25">
      <c r="A2559" s="29" t="s">
        <v>353</v>
      </c>
      <c r="B2559" s="44" t="s">
        <v>26</v>
      </c>
      <c r="C2559" s="618" t="s">
        <v>399</v>
      </c>
      <c r="D2559" s="24"/>
      <c r="E2559" s="582">
        <v>151.41</v>
      </c>
    </row>
    <row r="2560" spans="1:5" hidden="1" x14ac:dyDescent="0.25">
      <c r="A2560" s="29" t="s">
        <v>354</v>
      </c>
      <c r="B2560" s="24" t="s">
        <v>28</v>
      </c>
      <c r="C2560" s="618" t="s">
        <v>399</v>
      </c>
      <c r="D2560" s="24"/>
      <c r="E2560" s="583">
        <v>14.25</v>
      </c>
    </row>
    <row r="2561" spans="1:5" hidden="1" x14ac:dyDescent="0.25">
      <c r="A2561" s="489" t="s">
        <v>355</v>
      </c>
      <c r="B2561" s="38" t="s">
        <v>30</v>
      </c>
      <c r="C2561" s="618" t="s">
        <v>399</v>
      </c>
      <c r="D2561" s="24"/>
      <c r="E2561" s="584">
        <f>+E2559+E2560</f>
        <v>165.66</v>
      </c>
    </row>
    <row r="2562" spans="1:5" hidden="1" x14ac:dyDescent="0.25">
      <c r="A2562" s="490" t="s">
        <v>42</v>
      </c>
      <c r="B2562" s="471" t="s">
        <v>356</v>
      </c>
      <c r="C2562" s="52"/>
      <c r="D2562" s="52"/>
      <c r="E2562" s="534"/>
    </row>
    <row r="2563" spans="1:5" hidden="1" x14ac:dyDescent="0.25">
      <c r="A2563" s="25" t="s">
        <v>44</v>
      </c>
      <c r="B2563" s="24" t="s">
        <v>357</v>
      </c>
      <c r="C2563" s="24"/>
      <c r="D2563" s="24"/>
      <c r="E2563" s="523" t="s">
        <v>106</v>
      </c>
    </row>
    <row r="2564" spans="1:5" hidden="1" x14ac:dyDescent="0.25">
      <c r="A2564" s="25" t="s">
        <v>45</v>
      </c>
      <c r="B2564" s="24" t="s">
        <v>358</v>
      </c>
      <c r="C2564" s="508" t="s">
        <v>292</v>
      </c>
      <c r="D2564" s="24"/>
      <c r="E2564" s="524">
        <v>0</v>
      </c>
    </row>
    <row r="2565" spans="1:5" ht="22.5" hidden="1" x14ac:dyDescent="0.25">
      <c r="A2565" s="491" t="s">
        <v>46</v>
      </c>
      <c r="B2565" s="503" t="s">
        <v>359</v>
      </c>
      <c r="C2565" s="508" t="s">
        <v>292</v>
      </c>
      <c r="D2565" s="495" t="s">
        <v>387</v>
      </c>
      <c r="E2565" s="637">
        <f>E2566+E2567</f>
        <v>6.3900000000000006</v>
      </c>
    </row>
    <row r="2566" spans="1:5" ht="16.5" hidden="1" x14ac:dyDescent="0.25">
      <c r="A2566" s="25" t="s">
        <v>48</v>
      </c>
      <c r="B2566" s="24" t="s">
        <v>49</v>
      </c>
      <c r="C2566" s="508" t="s">
        <v>292</v>
      </c>
      <c r="D2566" s="600" t="s">
        <v>388</v>
      </c>
      <c r="E2566" s="532">
        <f>E2542</f>
        <v>1.44</v>
      </c>
    </row>
    <row r="2567" spans="1:5" ht="16.5" hidden="1" x14ac:dyDescent="0.25">
      <c r="A2567" s="854" t="s">
        <v>50</v>
      </c>
      <c r="B2567" s="472" t="s">
        <v>51</v>
      </c>
      <c r="C2567" s="511" t="s">
        <v>292</v>
      </c>
      <c r="D2567" s="600" t="s">
        <v>389</v>
      </c>
      <c r="E2567" s="536">
        <f>E2543</f>
        <v>4.95</v>
      </c>
    </row>
    <row r="2568" spans="1:5" ht="25.5" hidden="1" x14ac:dyDescent="0.25">
      <c r="A2568" s="855"/>
      <c r="B2568" s="509" t="s">
        <v>51</v>
      </c>
      <c r="C2568" s="512" t="s">
        <v>348</v>
      </c>
      <c r="D2568" s="510" t="s">
        <v>435</v>
      </c>
      <c r="E2568" s="585"/>
    </row>
    <row r="2569" spans="1:5" hidden="1" x14ac:dyDescent="0.25">
      <c r="A2569" s="25" t="s">
        <v>52</v>
      </c>
      <c r="B2569" s="492" t="s">
        <v>360</v>
      </c>
      <c r="C2569" s="33"/>
      <c r="D2569" s="33"/>
      <c r="E2569" s="529"/>
    </row>
    <row r="2570" spans="1:5" ht="18.75" hidden="1" x14ac:dyDescent="0.3">
      <c r="A2570" s="25" t="s">
        <v>54</v>
      </c>
      <c r="B2570" s="24" t="s">
        <v>361</v>
      </c>
      <c r="C2570" s="11" t="s">
        <v>362</v>
      </c>
      <c r="D2570" s="497" t="s">
        <v>390</v>
      </c>
      <c r="E2570" s="524">
        <v>10.54</v>
      </c>
    </row>
    <row r="2571" spans="1:5" ht="16.5" hidden="1" x14ac:dyDescent="0.3">
      <c r="A2571" s="25" t="s">
        <v>57</v>
      </c>
      <c r="B2571" s="24" t="s">
        <v>58</v>
      </c>
      <c r="C2571" s="508" t="s">
        <v>292</v>
      </c>
      <c r="D2571" s="498" t="s">
        <v>389</v>
      </c>
      <c r="E2571" s="532">
        <f>E2567</f>
        <v>4.95</v>
      </c>
    </row>
    <row r="2572" spans="1:5" hidden="1" x14ac:dyDescent="0.25">
      <c r="A2572" s="34" t="s">
        <v>60</v>
      </c>
      <c r="B2572" s="504" t="s">
        <v>61</v>
      </c>
      <c r="C2572" s="502"/>
      <c r="D2572" s="502"/>
      <c r="E2572" s="586"/>
    </row>
    <row r="2573" spans="1:5" ht="16.5" hidden="1" x14ac:dyDescent="0.25">
      <c r="A2573" s="602" t="s">
        <v>62</v>
      </c>
      <c r="B2573" s="601" t="s">
        <v>363</v>
      </c>
      <c r="C2573" s="508" t="s">
        <v>292</v>
      </c>
      <c r="D2573" s="600" t="s">
        <v>391</v>
      </c>
      <c r="E2573" s="638">
        <f>E2574+E2575</f>
        <v>2.1404148936170215</v>
      </c>
    </row>
    <row r="2574" spans="1:5" ht="16.5" hidden="1" x14ac:dyDescent="0.25">
      <c r="A2574" s="27" t="s">
        <v>63</v>
      </c>
      <c r="B2574" s="642" t="s">
        <v>64</v>
      </c>
      <c r="C2574" s="508" t="s">
        <v>292</v>
      </c>
      <c r="D2574" s="600" t="s">
        <v>392</v>
      </c>
      <c r="E2574" s="529">
        <v>0.79</v>
      </c>
    </row>
    <row r="2575" spans="1:5" ht="16.5" hidden="1" x14ac:dyDescent="0.25">
      <c r="A2575" s="856" t="s">
        <v>65</v>
      </c>
      <c r="B2575" s="603" t="s">
        <v>66</v>
      </c>
      <c r="C2575" s="508" t="s">
        <v>292</v>
      </c>
      <c r="D2575" s="630" t="s">
        <v>408</v>
      </c>
      <c r="E2575" s="514">
        <f>0.12+(7.24*E2541)/37.6</f>
        <v>1.3504148936170215</v>
      </c>
    </row>
    <row r="2576" spans="1:5" hidden="1" x14ac:dyDescent="0.25">
      <c r="A2576" s="857"/>
      <c r="B2576" s="619" t="s">
        <v>66</v>
      </c>
      <c r="C2576" s="513" t="s">
        <v>348</v>
      </c>
      <c r="D2576" s="641" t="s">
        <v>436</v>
      </c>
      <c r="E2576" s="587"/>
    </row>
    <row r="2577" spans="1:5" hidden="1" x14ac:dyDescent="0.25">
      <c r="A2577" s="470" t="s">
        <v>67</v>
      </c>
      <c r="B2577" s="473" t="s">
        <v>364</v>
      </c>
      <c r="C2577" s="9"/>
      <c r="D2577" s="24"/>
      <c r="E2577" s="524"/>
    </row>
    <row r="2578" spans="1:5" ht="18.75" hidden="1" x14ac:dyDescent="0.3">
      <c r="A2578" s="470" t="s">
        <v>69</v>
      </c>
      <c r="B2578" s="473" t="s">
        <v>361</v>
      </c>
      <c r="C2578" s="515" t="s">
        <v>362</v>
      </c>
      <c r="D2578" s="497" t="s">
        <v>393</v>
      </c>
      <c r="E2578" s="532">
        <v>5.24</v>
      </c>
    </row>
    <row r="2579" spans="1:5" ht="16.5" hidden="1" x14ac:dyDescent="0.3">
      <c r="A2579" s="470" t="s">
        <v>70</v>
      </c>
      <c r="B2579" s="473" t="s">
        <v>365</v>
      </c>
      <c r="C2579" s="508" t="s">
        <v>292</v>
      </c>
      <c r="D2579" s="498" t="s">
        <v>394</v>
      </c>
      <c r="E2579" s="532">
        <f>E2575</f>
        <v>1.3504148936170215</v>
      </c>
    </row>
    <row r="2580" spans="1:5" hidden="1" x14ac:dyDescent="0.25">
      <c r="A2580" s="126" t="s">
        <v>72</v>
      </c>
      <c r="B2580" s="504" t="s">
        <v>366</v>
      </c>
      <c r="C2580" s="516"/>
      <c r="D2580" s="502"/>
      <c r="E2580" s="586"/>
    </row>
    <row r="2581" spans="1:5" ht="16.5" hidden="1" x14ac:dyDescent="0.3">
      <c r="A2581" s="474" t="s">
        <v>79</v>
      </c>
      <c r="B2581" s="473" t="s">
        <v>367</v>
      </c>
      <c r="C2581" s="508" t="s">
        <v>292</v>
      </c>
      <c r="D2581" s="497" t="s">
        <v>370</v>
      </c>
      <c r="E2581" s="637">
        <v>0.1</v>
      </c>
    </row>
    <row r="2582" spans="1:5" ht="18.75" hidden="1" x14ac:dyDescent="0.3">
      <c r="A2582" s="474" t="s">
        <v>368</v>
      </c>
      <c r="B2582" s="626" t="s">
        <v>400</v>
      </c>
      <c r="C2582" s="627" t="s">
        <v>401</v>
      </c>
      <c r="D2582" s="621" t="s">
        <v>403</v>
      </c>
      <c r="E2582" s="462">
        <v>14.96</v>
      </c>
    </row>
    <row r="2583" spans="1:5" ht="18.75" hidden="1" x14ac:dyDescent="0.3">
      <c r="A2583" s="474" t="s">
        <v>369</v>
      </c>
      <c r="B2583" s="626" t="s">
        <v>402</v>
      </c>
      <c r="C2583" s="627" t="s">
        <v>401</v>
      </c>
      <c r="D2583" s="620" t="s">
        <v>404</v>
      </c>
      <c r="E2583" s="462">
        <v>0.75</v>
      </c>
    </row>
    <row r="2584" spans="1:5" ht="33" hidden="1" x14ac:dyDescent="0.25">
      <c r="A2584" s="493" t="s">
        <v>115</v>
      </c>
      <c r="B2584" s="622" t="s">
        <v>371</v>
      </c>
      <c r="C2584" s="623"/>
      <c r="D2584" s="624"/>
      <c r="E2584" s="623"/>
    </row>
    <row r="2585" spans="1:5" hidden="1" x14ac:dyDescent="0.25">
      <c r="A2585" s="494" t="s">
        <v>80</v>
      </c>
      <c r="B2585" s="477" t="s">
        <v>81</v>
      </c>
      <c r="C2585" s="508" t="s">
        <v>292</v>
      </c>
      <c r="D2585" s="625"/>
      <c r="E2585" s="639">
        <v>-0.02</v>
      </c>
    </row>
    <row r="2586" spans="1:5" hidden="1" x14ac:dyDescent="0.25">
      <c r="A2586" s="494" t="s">
        <v>82</v>
      </c>
      <c r="B2586" s="477" t="s">
        <v>83</v>
      </c>
      <c r="C2586" s="508" t="s">
        <v>292</v>
      </c>
      <c r="D2586" s="625"/>
      <c r="E2586" s="639">
        <v>-0.01</v>
      </c>
    </row>
    <row r="2587" spans="1:5" ht="21" hidden="1" x14ac:dyDescent="0.25">
      <c r="A2587" s="605" t="s">
        <v>84</v>
      </c>
      <c r="B2587" s="604" t="s">
        <v>372</v>
      </c>
      <c r="C2587" s="508" t="s">
        <v>292</v>
      </c>
      <c r="D2587" s="462"/>
      <c r="E2587" s="589">
        <f>ROUND(E2565+E2573+E2581+E2585+E2586, 2)</f>
        <v>8.6</v>
      </c>
    </row>
    <row r="2588" spans="1:5" hidden="1" x14ac:dyDescent="0.25">
      <c r="A2588" s="365" t="s">
        <v>85</v>
      </c>
      <c r="B2588" s="518" t="s">
        <v>86</v>
      </c>
      <c r="C2588" s="508" t="s">
        <v>373</v>
      </c>
      <c r="D2588" s="462"/>
      <c r="E2588" s="462">
        <v>0</v>
      </c>
    </row>
    <row r="2589" spans="1:5" hidden="1" x14ac:dyDescent="0.25">
      <c r="A2589" s="670" t="s">
        <v>87</v>
      </c>
      <c r="B2589" s="671" t="s">
        <v>88</v>
      </c>
      <c r="C2589" s="508" t="s">
        <v>292</v>
      </c>
      <c r="D2589" s="499"/>
      <c r="E2589" s="540">
        <f>E2587</f>
        <v>8.6</v>
      </c>
    </row>
    <row r="2590" spans="1:5" hidden="1" x14ac:dyDescent="0.25">
      <c r="A2590" s="672" t="s">
        <v>89</v>
      </c>
      <c r="B2590" s="671" t="s">
        <v>444</v>
      </c>
      <c r="C2590" s="508" t="s">
        <v>292</v>
      </c>
      <c r="D2590" s="499"/>
      <c r="E2590" s="538">
        <f>E2589*1.09</f>
        <v>9.3740000000000006</v>
      </c>
    </row>
    <row r="2591" spans="1:5" hidden="1" x14ac:dyDescent="0.25">
      <c r="A2591" s="721" t="s">
        <v>91</v>
      </c>
      <c r="B2591" s="722" t="s">
        <v>92</v>
      </c>
      <c r="C2591" s="508" t="s">
        <v>292</v>
      </c>
      <c r="D2591" s="499"/>
      <c r="E2591" s="709">
        <v>8.31</v>
      </c>
    </row>
    <row r="2592" spans="1:5" hidden="1" x14ac:dyDescent="0.25">
      <c r="A2592" s="475" t="s">
        <v>93</v>
      </c>
      <c r="B2592" s="476" t="s">
        <v>374</v>
      </c>
      <c r="C2592" s="517" t="s">
        <v>95</v>
      </c>
      <c r="D2592" s="499"/>
      <c r="E2592" s="668">
        <f>(E2587/E2591)*100-100</f>
        <v>3.4897713598074631</v>
      </c>
    </row>
    <row r="2593" spans="1:5" hidden="1" x14ac:dyDescent="0.25">
      <c r="A2593" s="494" t="s">
        <v>96</v>
      </c>
      <c r="B2593" s="477" t="s">
        <v>97</v>
      </c>
      <c r="C2593" s="130" t="s">
        <v>375</v>
      </c>
      <c r="D2593" s="500"/>
      <c r="E2593" s="666">
        <v>4542.74</v>
      </c>
    </row>
    <row r="2594" spans="1:5" hidden="1" x14ac:dyDescent="0.25">
      <c r="A2594" s="494" t="s">
        <v>99</v>
      </c>
      <c r="B2594" s="477" t="s">
        <v>376</v>
      </c>
      <c r="C2594" s="130" t="s">
        <v>375</v>
      </c>
      <c r="D2594" s="462"/>
      <c r="E2594" s="666">
        <v>4542.74</v>
      </c>
    </row>
    <row r="2595" spans="1:5" hidden="1" x14ac:dyDescent="0.25">
      <c r="A2595" s="478" t="s">
        <v>101</v>
      </c>
      <c r="B2595" s="477" t="s">
        <v>377</v>
      </c>
      <c r="C2595" s="130" t="s">
        <v>375</v>
      </c>
      <c r="D2595" s="501"/>
      <c r="E2595" s="667">
        <v>4064.5859999999998</v>
      </c>
    </row>
    <row r="2596" spans="1:5" hidden="1" x14ac:dyDescent="0.25">
      <c r="A2596" s="478">
        <v>14</v>
      </c>
      <c r="B2596" s="477" t="s">
        <v>378</v>
      </c>
      <c r="C2596" s="125" t="s">
        <v>375</v>
      </c>
      <c r="D2596" s="462"/>
      <c r="E2596" s="462">
        <v>0</v>
      </c>
    </row>
    <row r="2597" spans="1:5" hidden="1" x14ac:dyDescent="0.25">
      <c r="B2597" s="643"/>
    </row>
    <row r="2598" spans="1:5" hidden="1" x14ac:dyDescent="0.25"/>
    <row r="2599" spans="1:5" hidden="1" x14ac:dyDescent="0.25">
      <c r="B2599" t="s">
        <v>189</v>
      </c>
      <c r="C2599" t="s">
        <v>193</v>
      </c>
      <c r="D2599" s="146" t="s">
        <v>190</v>
      </c>
    </row>
    <row r="2600" spans="1:5" hidden="1" x14ac:dyDescent="0.25">
      <c r="C2600" s="153" t="s">
        <v>194</v>
      </c>
    </row>
    <row r="2601" spans="1:5" hidden="1" x14ac:dyDescent="0.25">
      <c r="C2601" s="153"/>
    </row>
    <row r="2602" spans="1:5" hidden="1" x14ac:dyDescent="0.25">
      <c r="C2602" s="153"/>
    </row>
    <row r="2603" spans="1:5" hidden="1" x14ac:dyDescent="0.25">
      <c r="C2603" s="153"/>
    </row>
    <row r="2604" spans="1:5" hidden="1" x14ac:dyDescent="0.25">
      <c r="C2604" s="153"/>
    </row>
    <row r="2605" spans="1:5" hidden="1" x14ac:dyDescent="0.25">
      <c r="C2605" s="153"/>
    </row>
    <row r="2606" spans="1:5" hidden="1" x14ac:dyDescent="0.25">
      <c r="C2606" s="153"/>
    </row>
    <row r="2607" spans="1:5" hidden="1" x14ac:dyDescent="0.25">
      <c r="C2607" s="153"/>
    </row>
    <row r="2608" spans="1:5" hidden="1" x14ac:dyDescent="0.25">
      <c r="C2608" s="153"/>
    </row>
    <row r="2609" spans="1:5" hidden="1" x14ac:dyDescent="0.25">
      <c r="C2609" s="153"/>
    </row>
    <row r="2610" spans="1:5" hidden="1" x14ac:dyDescent="0.25">
      <c r="C2610" s="153"/>
    </row>
    <row r="2611" spans="1:5" hidden="1" x14ac:dyDescent="0.25">
      <c r="C2611" s="153"/>
    </row>
    <row r="2612" spans="1:5" hidden="1" x14ac:dyDescent="0.25">
      <c r="C2612" s="153"/>
    </row>
    <row r="2613" spans="1:5" hidden="1" x14ac:dyDescent="0.25">
      <c r="C2613" s="153"/>
    </row>
    <row r="2614" spans="1:5" hidden="1" x14ac:dyDescent="0.25">
      <c r="C2614" s="153"/>
    </row>
    <row r="2615" spans="1:5" hidden="1" x14ac:dyDescent="0.25">
      <c r="C2615" s="153"/>
    </row>
    <row r="2616" spans="1:5" hidden="1" x14ac:dyDescent="0.25"/>
    <row r="2617" spans="1:5" hidden="1" x14ac:dyDescent="0.25">
      <c r="A2617" s="463"/>
      <c r="B2617" s="463"/>
      <c r="C2617" s="463"/>
      <c r="D2617" s="592" t="s">
        <v>332</v>
      </c>
      <c r="E2617" s="592"/>
    </row>
    <row r="2618" spans="1:5" hidden="1" x14ac:dyDescent="0.25">
      <c r="A2618" s="463"/>
      <c r="B2618" s="463"/>
      <c r="C2618" s="463"/>
      <c r="D2618" s="851" t="s">
        <v>333</v>
      </c>
      <c r="E2618" s="851"/>
    </row>
    <row r="2619" spans="1:5" hidden="1" x14ac:dyDescent="0.25">
      <c r="A2619" s="463"/>
      <c r="B2619" s="463"/>
      <c r="C2619" s="463"/>
      <c r="D2619" s="851" t="s">
        <v>334</v>
      </c>
      <c r="E2619" s="851"/>
    </row>
    <row r="2620" spans="1:5" hidden="1" x14ac:dyDescent="0.25">
      <c r="A2620" s="463"/>
      <c r="B2620" s="463"/>
      <c r="C2620" s="463"/>
      <c r="D2620" s="741" t="s">
        <v>343</v>
      </c>
      <c r="E2620" s="520"/>
    </row>
    <row r="2621" spans="1:5" hidden="1" x14ac:dyDescent="0.25">
      <c r="A2621" s="463"/>
      <c r="B2621" s="463"/>
      <c r="C2621" s="463"/>
      <c r="D2621" s="463"/>
      <c r="E2621" s="463"/>
    </row>
    <row r="2622" spans="1:5" hidden="1" x14ac:dyDescent="0.25">
      <c r="A2622" s="481"/>
      <c r="B2622" s="465" t="s">
        <v>335</v>
      </c>
      <c r="C2622" s="464"/>
      <c r="D2622" s="465" t="s">
        <v>336</v>
      </c>
      <c r="E2622" s="484"/>
    </row>
    <row r="2623" spans="1:5" hidden="1" x14ac:dyDescent="0.25">
      <c r="A2623" s="481"/>
      <c r="B2623" s="464" t="s">
        <v>337</v>
      </c>
      <c r="C2623" s="464"/>
      <c r="D2623" s="465" t="s">
        <v>451</v>
      </c>
      <c r="E2623" s="484"/>
    </row>
    <row r="2624" spans="1:5" hidden="1" x14ac:dyDescent="0.25">
      <c r="A2624" s="481"/>
      <c r="B2624" s="465" t="s">
        <v>379</v>
      </c>
      <c r="C2624" s="466"/>
      <c r="D2624" s="465" t="s">
        <v>339</v>
      </c>
      <c r="E2624" s="484"/>
    </row>
    <row r="2625" spans="1:5" hidden="1" x14ac:dyDescent="0.25">
      <c r="A2625" s="481"/>
      <c r="B2625" s="465" t="s">
        <v>380</v>
      </c>
      <c r="C2625" s="464"/>
      <c r="D2625" s="465" t="s">
        <v>385</v>
      </c>
      <c r="E2625" s="484"/>
    </row>
    <row r="2626" spans="1:5" hidden="1" x14ac:dyDescent="0.25">
      <c r="A2626" s="481"/>
      <c r="B2626" s="465" t="s">
        <v>381</v>
      </c>
      <c r="C2626" s="464"/>
      <c r="D2626" s="465" t="s">
        <v>382</v>
      </c>
      <c r="E2626" s="484"/>
    </row>
    <row r="2627" spans="1:5" hidden="1" x14ac:dyDescent="0.25">
      <c r="A2627" s="481"/>
      <c r="B2627" s="465" t="s">
        <v>382</v>
      </c>
      <c r="C2627" s="464"/>
      <c r="D2627" s="465" t="s">
        <v>452</v>
      </c>
      <c r="E2627" s="485"/>
    </row>
    <row r="2628" spans="1:5" hidden="1" x14ac:dyDescent="0.25">
      <c r="A2628" s="481"/>
      <c r="B2628" s="465" t="s">
        <v>383</v>
      </c>
      <c r="C2628" s="467"/>
      <c r="D2628" s="465"/>
      <c r="E2628" s="484"/>
    </row>
    <row r="2629" spans="1:5" hidden="1" x14ac:dyDescent="0.25">
      <c r="A2629" s="481"/>
      <c r="B2629" s="465" t="s">
        <v>384</v>
      </c>
      <c r="C2629" s="467"/>
      <c r="D2629" s="465"/>
      <c r="E2629" s="484"/>
    </row>
    <row r="2630" spans="1:5" hidden="1" x14ac:dyDescent="0.25">
      <c r="A2630" s="152"/>
      <c r="B2630" s="132"/>
      <c r="C2630" s="132"/>
      <c r="D2630" s="132"/>
      <c r="E2630" s="519"/>
    </row>
    <row r="2631" spans="1:5" ht="15.75" hidden="1" x14ac:dyDescent="0.25">
      <c r="A2631" s="141" t="s">
        <v>296</v>
      </c>
      <c r="B2631" s="141" t="s">
        <v>459</v>
      </c>
      <c r="C2631" s="2"/>
      <c r="D2631" s="2"/>
    </row>
    <row r="2632" spans="1:5" ht="15.75" hidden="1" x14ac:dyDescent="0.25">
      <c r="A2632" s="141"/>
      <c r="B2632" s="141"/>
      <c r="C2632" s="629" t="s">
        <v>458</v>
      </c>
      <c r="D2632" s="2"/>
    </row>
    <row r="2633" spans="1:5" ht="15.75" hidden="1" x14ac:dyDescent="0.25">
      <c r="A2633" s="141"/>
      <c r="B2633" s="141"/>
      <c r="C2633" s="505" t="s">
        <v>191</v>
      </c>
      <c r="D2633" s="2"/>
    </row>
    <row r="2634" spans="1:5" ht="15.75" hidden="1" x14ac:dyDescent="0.25">
      <c r="A2634" s="141"/>
      <c r="B2634" s="141"/>
      <c r="C2634" s="505"/>
      <c r="D2634" s="2"/>
    </row>
    <row r="2635" spans="1:5" hidden="1" x14ac:dyDescent="0.25">
      <c r="A2635" s="483" t="s">
        <v>6</v>
      </c>
      <c r="B2635" s="2"/>
      <c r="C2635" s="2"/>
      <c r="D2635" s="2"/>
      <c r="E2635" s="522"/>
    </row>
    <row r="2636" spans="1:5" hidden="1" x14ac:dyDescent="0.25">
      <c r="A2636" s="482" t="s">
        <v>340</v>
      </c>
      <c r="B2636" s="1"/>
      <c r="C2636" s="1"/>
      <c r="D2636" s="1"/>
      <c r="E2636" s="463"/>
    </row>
    <row r="2637" spans="1:5" hidden="1" x14ac:dyDescent="0.25">
      <c r="A2637" s="482"/>
      <c r="B2637" s="1"/>
      <c r="C2637" s="1"/>
      <c r="D2637" s="1"/>
      <c r="E2637" s="463"/>
    </row>
    <row r="2638" spans="1:5" hidden="1" x14ac:dyDescent="0.25">
      <c r="A2638" s="132" t="s">
        <v>7</v>
      </c>
      <c r="B2638" s="1"/>
      <c r="C2638" s="1"/>
      <c r="D2638" s="1"/>
      <c r="E2638" s="463"/>
    </row>
    <row r="2639" spans="1:5" ht="27.75" hidden="1" customHeight="1" x14ac:dyDescent="0.25">
      <c r="A2639" s="852" t="s">
        <v>434</v>
      </c>
      <c r="B2639" s="852"/>
      <c r="C2639" s="852"/>
      <c r="D2639" s="852"/>
      <c r="E2639" s="852"/>
    </row>
    <row r="2640" spans="1:5" hidden="1" x14ac:dyDescent="0.25">
      <c r="A2640" s="469" t="s">
        <v>8</v>
      </c>
      <c r="B2640" s="469" t="s">
        <v>9</v>
      </c>
      <c r="C2640" s="469" t="s">
        <v>10</v>
      </c>
      <c r="D2640" s="469" t="s">
        <v>11</v>
      </c>
      <c r="E2640" s="469" t="s">
        <v>12</v>
      </c>
    </row>
    <row r="2641" spans="1:5" hidden="1" x14ac:dyDescent="0.25">
      <c r="A2641" s="25">
        <v>1</v>
      </c>
      <c r="B2641" s="25">
        <v>2</v>
      </c>
      <c r="C2641" s="25">
        <v>3</v>
      </c>
      <c r="D2641" s="25">
        <v>4</v>
      </c>
      <c r="E2641" s="523">
        <v>5</v>
      </c>
    </row>
    <row r="2642" spans="1:5" hidden="1" x14ac:dyDescent="0.25">
      <c r="A2642" s="487" t="s">
        <v>13</v>
      </c>
      <c r="B2642" s="468" t="s">
        <v>344</v>
      </c>
      <c r="C2642" s="442"/>
      <c r="D2642" s="442"/>
      <c r="E2642" s="580"/>
    </row>
    <row r="2643" spans="1:5" ht="21.75" hidden="1" x14ac:dyDescent="0.25">
      <c r="A2643" s="597" t="s">
        <v>15</v>
      </c>
      <c r="B2643" s="596" t="s">
        <v>347</v>
      </c>
      <c r="C2643" s="508" t="s">
        <v>292</v>
      </c>
      <c r="D2643" s="598" t="s">
        <v>349</v>
      </c>
      <c r="E2643" s="634">
        <f>E2644+E2645</f>
        <v>6.34</v>
      </c>
    </row>
    <row r="2644" spans="1:5" ht="16.5" hidden="1" x14ac:dyDescent="0.25">
      <c r="A2644" s="742" t="s">
        <v>16</v>
      </c>
      <c r="B2644" s="748" t="s">
        <v>346</v>
      </c>
      <c r="C2644" s="508" t="s">
        <v>292</v>
      </c>
      <c r="D2644" s="600" t="s">
        <v>350</v>
      </c>
      <c r="E2644" s="635">
        <v>1.44</v>
      </c>
    </row>
    <row r="2645" spans="1:5" ht="16.5" hidden="1" x14ac:dyDescent="0.25">
      <c r="A2645" s="853" t="s">
        <v>17</v>
      </c>
      <c r="B2645" s="748" t="s">
        <v>345</v>
      </c>
      <c r="C2645" s="508" t="s">
        <v>292</v>
      </c>
      <c r="D2645" s="631" t="s">
        <v>409</v>
      </c>
      <c r="E2645" s="636">
        <f>ROUND(0.09+((44951*E2651+226*E2659+106.1*E2655+509*E2663)/(44.84*1000))/10,2)</f>
        <v>4.9000000000000004</v>
      </c>
    </row>
    <row r="2646" spans="1:5" ht="25.5" hidden="1" x14ac:dyDescent="0.25">
      <c r="A2646" s="853"/>
      <c r="B2646" s="509" t="s">
        <v>345</v>
      </c>
      <c r="C2646" s="640" t="s">
        <v>348</v>
      </c>
      <c r="D2646" s="510" t="s">
        <v>435</v>
      </c>
      <c r="E2646" s="581"/>
    </row>
    <row r="2647" spans="1:5" hidden="1" x14ac:dyDescent="0.25">
      <c r="A2647" s="488" t="s">
        <v>21</v>
      </c>
      <c r="B2647" s="337" t="s">
        <v>351</v>
      </c>
      <c r="C2647" s="31"/>
      <c r="D2647" s="337"/>
      <c r="E2647" s="529"/>
    </row>
    <row r="2648" spans="1:5" hidden="1" x14ac:dyDescent="0.25">
      <c r="A2648" s="47" t="s">
        <v>23</v>
      </c>
      <c r="B2648" s="506" t="s">
        <v>24</v>
      </c>
      <c r="C2648" s="49"/>
      <c r="D2648" s="49"/>
      <c r="E2648" s="530"/>
    </row>
    <row r="2649" spans="1:5" hidden="1" x14ac:dyDescent="0.25">
      <c r="A2649" s="25" t="s">
        <v>25</v>
      </c>
      <c r="B2649" s="24" t="s">
        <v>26</v>
      </c>
      <c r="C2649" s="628" t="s">
        <v>328</v>
      </c>
      <c r="D2649" s="24"/>
      <c r="E2649" s="582">
        <v>32.619999999999997</v>
      </c>
    </row>
    <row r="2650" spans="1:5" hidden="1" x14ac:dyDescent="0.25">
      <c r="A2650" s="25" t="s">
        <v>27</v>
      </c>
      <c r="B2650" s="24" t="s">
        <v>28</v>
      </c>
      <c r="C2650" s="616" t="s">
        <v>328</v>
      </c>
      <c r="D2650" s="24"/>
      <c r="E2650" s="583">
        <v>12.56</v>
      </c>
    </row>
    <row r="2651" spans="1:5" hidden="1" x14ac:dyDescent="0.25">
      <c r="A2651" s="25" t="s">
        <v>29</v>
      </c>
      <c r="B2651" s="38" t="s">
        <v>30</v>
      </c>
      <c r="C2651" s="616" t="s">
        <v>328</v>
      </c>
      <c r="D2651" s="24"/>
      <c r="E2651" s="584">
        <f>E2649+E2650</f>
        <v>45.18</v>
      </c>
    </row>
    <row r="2652" spans="1:5" hidden="1" x14ac:dyDescent="0.25">
      <c r="A2652" s="36" t="s">
        <v>31</v>
      </c>
      <c r="B2652" s="41" t="s">
        <v>265</v>
      </c>
      <c r="C2652" s="42"/>
      <c r="D2652" s="42"/>
      <c r="E2652" s="531"/>
    </row>
    <row r="2653" spans="1:5" hidden="1" x14ac:dyDescent="0.25">
      <c r="A2653" s="25" t="s">
        <v>35</v>
      </c>
      <c r="B2653" s="24" t="s">
        <v>26</v>
      </c>
      <c r="C2653" s="617" t="s">
        <v>399</v>
      </c>
      <c r="D2653" s="24"/>
      <c r="E2653" s="582">
        <v>131.54</v>
      </c>
    </row>
    <row r="2654" spans="1:5" hidden="1" x14ac:dyDescent="0.25">
      <c r="A2654" s="25" t="s">
        <v>36</v>
      </c>
      <c r="B2654" s="24" t="s">
        <v>28</v>
      </c>
      <c r="C2654" s="618" t="s">
        <v>399</v>
      </c>
      <c r="D2654" s="24"/>
      <c r="E2654" s="582">
        <v>0</v>
      </c>
    </row>
    <row r="2655" spans="1:5" hidden="1" x14ac:dyDescent="0.25">
      <c r="A2655" s="25" t="s">
        <v>37</v>
      </c>
      <c r="B2655" s="24" t="s">
        <v>30</v>
      </c>
      <c r="C2655" s="618" t="s">
        <v>399</v>
      </c>
      <c r="D2655" s="24"/>
      <c r="E2655" s="708">
        <f>+E2653+E2654</f>
        <v>131.54</v>
      </c>
    </row>
    <row r="2656" spans="1:5" hidden="1" x14ac:dyDescent="0.25">
      <c r="A2656" s="36" t="s">
        <v>34</v>
      </c>
      <c r="B2656" s="41" t="s">
        <v>266</v>
      </c>
      <c r="C2656" s="420"/>
      <c r="D2656" s="42"/>
      <c r="E2656" s="531"/>
    </row>
    <row r="2657" spans="1:5" hidden="1" x14ac:dyDescent="0.25">
      <c r="A2657" s="25" t="s">
        <v>38</v>
      </c>
      <c r="B2657" s="24" t="s">
        <v>26</v>
      </c>
      <c r="C2657" s="618" t="s">
        <v>399</v>
      </c>
      <c r="D2657" s="24"/>
      <c r="E2657" s="582">
        <v>118.35</v>
      </c>
    </row>
    <row r="2658" spans="1:5" hidden="1" x14ac:dyDescent="0.25">
      <c r="A2658" s="25" t="s">
        <v>39</v>
      </c>
      <c r="B2658" s="24" t="s">
        <v>28</v>
      </c>
      <c r="C2658" s="618" t="s">
        <v>399</v>
      </c>
      <c r="D2658" s="24"/>
      <c r="E2658" s="582"/>
    </row>
    <row r="2659" spans="1:5" hidden="1" x14ac:dyDescent="0.25">
      <c r="A2659" s="25" t="s">
        <v>40</v>
      </c>
      <c r="B2659" s="24" t="s">
        <v>30</v>
      </c>
      <c r="C2659" s="618" t="s">
        <v>399</v>
      </c>
      <c r="D2659" s="24"/>
      <c r="E2659" s="584">
        <f>+E2657+E2658</f>
        <v>118.35</v>
      </c>
    </row>
    <row r="2660" spans="1:5" hidden="1" x14ac:dyDescent="0.25">
      <c r="A2660" s="37" t="s">
        <v>352</v>
      </c>
      <c r="B2660" s="45" t="s">
        <v>103</v>
      </c>
      <c r="C2660" s="46"/>
      <c r="D2660" s="46"/>
      <c r="E2660" s="533"/>
    </row>
    <row r="2661" spans="1:5" hidden="1" x14ac:dyDescent="0.25">
      <c r="A2661" s="29" t="s">
        <v>353</v>
      </c>
      <c r="B2661" s="44" t="s">
        <v>26</v>
      </c>
      <c r="C2661" s="618" t="s">
        <v>399</v>
      </c>
      <c r="D2661" s="24"/>
      <c r="E2661" s="582">
        <v>151.41</v>
      </c>
    </row>
    <row r="2662" spans="1:5" hidden="1" x14ac:dyDescent="0.25">
      <c r="A2662" s="29" t="s">
        <v>354</v>
      </c>
      <c r="B2662" s="24" t="s">
        <v>28</v>
      </c>
      <c r="C2662" s="618" t="s">
        <v>399</v>
      </c>
      <c r="D2662" s="24"/>
      <c r="E2662" s="583">
        <v>14.25</v>
      </c>
    </row>
    <row r="2663" spans="1:5" hidden="1" x14ac:dyDescent="0.25">
      <c r="A2663" s="489" t="s">
        <v>355</v>
      </c>
      <c r="B2663" s="38" t="s">
        <v>30</v>
      </c>
      <c r="C2663" s="618" t="s">
        <v>399</v>
      </c>
      <c r="D2663" s="24"/>
      <c r="E2663" s="584">
        <f>+E2661+E2662</f>
        <v>165.66</v>
      </c>
    </row>
    <row r="2664" spans="1:5" hidden="1" x14ac:dyDescent="0.25">
      <c r="A2664" s="490" t="s">
        <v>42</v>
      </c>
      <c r="B2664" s="471" t="s">
        <v>356</v>
      </c>
      <c r="C2664" s="52"/>
      <c r="D2664" s="52"/>
      <c r="E2664" s="534"/>
    </row>
    <row r="2665" spans="1:5" hidden="1" x14ac:dyDescent="0.25">
      <c r="A2665" s="25" t="s">
        <v>44</v>
      </c>
      <c r="B2665" s="24" t="s">
        <v>357</v>
      </c>
      <c r="C2665" s="24"/>
      <c r="D2665" s="24"/>
      <c r="E2665" s="523" t="s">
        <v>106</v>
      </c>
    </row>
    <row r="2666" spans="1:5" hidden="1" x14ac:dyDescent="0.25">
      <c r="A2666" s="25" t="s">
        <v>45</v>
      </c>
      <c r="B2666" s="24" t="s">
        <v>358</v>
      </c>
      <c r="C2666" s="508" t="s">
        <v>292</v>
      </c>
      <c r="D2666" s="24"/>
      <c r="E2666" s="524">
        <v>0</v>
      </c>
    </row>
    <row r="2667" spans="1:5" ht="22.5" hidden="1" x14ac:dyDescent="0.25">
      <c r="A2667" s="491" t="s">
        <v>46</v>
      </c>
      <c r="B2667" s="503" t="s">
        <v>359</v>
      </c>
      <c r="C2667" s="508" t="s">
        <v>292</v>
      </c>
      <c r="D2667" s="495" t="s">
        <v>387</v>
      </c>
      <c r="E2667" s="637">
        <f>E2668+E2669</f>
        <v>6.34</v>
      </c>
    </row>
    <row r="2668" spans="1:5" ht="16.5" hidden="1" x14ac:dyDescent="0.25">
      <c r="A2668" s="25" t="s">
        <v>48</v>
      </c>
      <c r="B2668" s="24" t="s">
        <v>49</v>
      </c>
      <c r="C2668" s="508" t="s">
        <v>292</v>
      </c>
      <c r="D2668" s="600" t="s">
        <v>388</v>
      </c>
      <c r="E2668" s="532">
        <f>E2644</f>
        <v>1.44</v>
      </c>
    </row>
    <row r="2669" spans="1:5" ht="16.5" hidden="1" x14ac:dyDescent="0.25">
      <c r="A2669" s="854" t="s">
        <v>50</v>
      </c>
      <c r="B2669" s="472" t="s">
        <v>51</v>
      </c>
      <c r="C2669" s="511" t="s">
        <v>292</v>
      </c>
      <c r="D2669" s="600" t="s">
        <v>389</v>
      </c>
      <c r="E2669" s="536">
        <f>E2645</f>
        <v>4.9000000000000004</v>
      </c>
    </row>
    <row r="2670" spans="1:5" ht="25.5" hidden="1" x14ac:dyDescent="0.25">
      <c r="A2670" s="855"/>
      <c r="B2670" s="509" t="s">
        <v>51</v>
      </c>
      <c r="C2670" s="512" t="s">
        <v>348</v>
      </c>
      <c r="D2670" s="510" t="s">
        <v>435</v>
      </c>
      <c r="E2670" s="585"/>
    </row>
    <row r="2671" spans="1:5" hidden="1" x14ac:dyDescent="0.25">
      <c r="A2671" s="25" t="s">
        <v>52</v>
      </c>
      <c r="B2671" s="492" t="s">
        <v>360</v>
      </c>
      <c r="C2671" s="33"/>
      <c r="D2671" s="33"/>
      <c r="E2671" s="529"/>
    </row>
    <row r="2672" spans="1:5" ht="18.75" hidden="1" x14ac:dyDescent="0.3">
      <c r="A2672" s="25" t="s">
        <v>54</v>
      </c>
      <c r="B2672" s="24" t="s">
        <v>361</v>
      </c>
      <c r="C2672" s="11" t="s">
        <v>362</v>
      </c>
      <c r="D2672" s="497" t="s">
        <v>390</v>
      </c>
      <c r="E2672" s="524">
        <v>10.54</v>
      </c>
    </row>
    <row r="2673" spans="1:5" ht="16.5" hidden="1" x14ac:dyDescent="0.3">
      <c r="A2673" s="25" t="s">
        <v>57</v>
      </c>
      <c r="B2673" s="24" t="s">
        <v>58</v>
      </c>
      <c r="C2673" s="508" t="s">
        <v>292</v>
      </c>
      <c r="D2673" s="498" t="s">
        <v>389</v>
      </c>
      <c r="E2673" s="532">
        <f>E2669</f>
        <v>4.9000000000000004</v>
      </c>
    </row>
    <row r="2674" spans="1:5" hidden="1" x14ac:dyDescent="0.25">
      <c r="A2674" s="34" t="s">
        <v>60</v>
      </c>
      <c r="B2674" s="504" t="s">
        <v>61</v>
      </c>
      <c r="C2674" s="502"/>
      <c r="D2674" s="502"/>
      <c r="E2674" s="586"/>
    </row>
    <row r="2675" spans="1:5" ht="16.5" hidden="1" x14ac:dyDescent="0.25">
      <c r="A2675" s="602" t="s">
        <v>62</v>
      </c>
      <c r="B2675" s="601" t="s">
        <v>363</v>
      </c>
      <c r="C2675" s="508" t="s">
        <v>292</v>
      </c>
      <c r="D2675" s="600" t="s">
        <v>391</v>
      </c>
      <c r="E2675" s="638">
        <f>E2676+E2677</f>
        <v>2.1307872340425531</v>
      </c>
    </row>
    <row r="2676" spans="1:5" ht="16.5" hidden="1" x14ac:dyDescent="0.25">
      <c r="A2676" s="27" t="s">
        <v>63</v>
      </c>
      <c r="B2676" s="642" t="s">
        <v>64</v>
      </c>
      <c r="C2676" s="508" t="s">
        <v>292</v>
      </c>
      <c r="D2676" s="600" t="s">
        <v>392</v>
      </c>
      <c r="E2676" s="529">
        <v>0.79</v>
      </c>
    </row>
    <row r="2677" spans="1:5" ht="16.5" hidden="1" x14ac:dyDescent="0.25">
      <c r="A2677" s="856" t="s">
        <v>65</v>
      </c>
      <c r="B2677" s="603" t="s">
        <v>66</v>
      </c>
      <c r="C2677" s="508" t="s">
        <v>292</v>
      </c>
      <c r="D2677" s="630" t="s">
        <v>408</v>
      </c>
      <c r="E2677" s="514">
        <f>0.12+(7.24*E2643)/37.6</f>
        <v>1.3407872340425531</v>
      </c>
    </row>
    <row r="2678" spans="1:5" hidden="1" x14ac:dyDescent="0.25">
      <c r="A2678" s="857"/>
      <c r="B2678" s="619" t="s">
        <v>66</v>
      </c>
      <c r="C2678" s="513" t="s">
        <v>348</v>
      </c>
      <c r="D2678" s="641" t="s">
        <v>436</v>
      </c>
      <c r="E2678" s="587"/>
    </row>
    <row r="2679" spans="1:5" hidden="1" x14ac:dyDescent="0.25">
      <c r="A2679" s="470" t="s">
        <v>67</v>
      </c>
      <c r="B2679" s="473" t="s">
        <v>364</v>
      </c>
      <c r="C2679" s="9"/>
      <c r="D2679" s="24"/>
      <c r="E2679" s="524"/>
    </row>
    <row r="2680" spans="1:5" ht="18.75" hidden="1" x14ac:dyDescent="0.3">
      <c r="A2680" s="470" t="s">
        <v>69</v>
      </c>
      <c r="B2680" s="473" t="s">
        <v>361</v>
      </c>
      <c r="C2680" s="515" t="s">
        <v>362</v>
      </c>
      <c r="D2680" s="497" t="s">
        <v>393</v>
      </c>
      <c r="E2680" s="532">
        <v>5.24</v>
      </c>
    </row>
    <row r="2681" spans="1:5" ht="16.5" hidden="1" x14ac:dyDescent="0.3">
      <c r="A2681" s="470" t="s">
        <v>70</v>
      </c>
      <c r="B2681" s="473" t="s">
        <v>365</v>
      </c>
      <c r="C2681" s="508" t="s">
        <v>292</v>
      </c>
      <c r="D2681" s="498" t="s">
        <v>394</v>
      </c>
      <c r="E2681" s="532">
        <f>E2677</f>
        <v>1.3407872340425531</v>
      </c>
    </row>
    <row r="2682" spans="1:5" hidden="1" x14ac:dyDescent="0.25">
      <c r="A2682" s="126" t="s">
        <v>72</v>
      </c>
      <c r="B2682" s="504" t="s">
        <v>366</v>
      </c>
      <c r="C2682" s="516"/>
      <c r="D2682" s="502"/>
      <c r="E2682" s="586"/>
    </row>
    <row r="2683" spans="1:5" ht="16.5" hidden="1" x14ac:dyDescent="0.3">
      <c r="A2683" s="474" t="s">
        <v>79</v>
      </c>
      <c r="B2683" s="473" t="s">
        <v>367</v>
      </c>
      <c r="C2683" s="508" t="s">
        <v>292</v>
      </c>
      <c r="D2683" s="497" t="s">
        <v>370</v>
      </c>
      <c r="E2683" s="637">
        <v>0.1</v>
      </c>
    </row>
    <row r="2684" spans="1:5" ht="18.75" hidden="1" x14ac:dyDescent="0.3">
      <c r="A2684" s="474" t="s">
        <v>368</v>
      </c>
      <c r="B2684" s="626" t="s">
        <v>400</v>
      </c>
      <c r="C2684" s="627" t="s">
        <v>401</v>
      </c>
      <c r="D2684" s="621" t="s">
        <v>403</v>
      </c>
      <c r="E2684" s="462">
        <v>14.96</v>
      </c>
    </row>
    <row r="2685" spans="1:5" ht="18.75" hidden="1" x14ac:dyDescent="0.3">
      <c r="A2685" s="474" t="s">
        <v>369</v>
      </c>
      <c r="B2685" s="626" t="s">
        <v>402</v>
      </c>
      <c r="C2685" s="627" t="s">
        <v>401</v>
      </c>
      <c r="D2685" s="620" t="s">
        <v>404</v>
      </c>
      <c r="E2685" s="462">
        <v>0.75</v>
      </c>
    </row>
    <row r="2686" spans="1:5" ht="33" hidden="1" x14ac:dyDescent="0.25">
      <c r="A2686" s="493" t="s">
        <v>115</v>
      </c>
      <c r="B2686" s="622" t="s">
        <v>371</v>
      </c>
      <c r="C2686" s="623"/>
      <c r="D2686" s="624"/>
      <c r="E2686" s="623"/>
    </row>
    <row r="2687" spans="1:5" hidden="1" x14ac:dyDescent="0.25">
      <c r="A2687" s="494" t="s">
        <v>80</v>
      </c>
      <c r="B2687" s="477" t="s">
        <v>81</v>
      </c>
      <c r="C2687" s="508" t="s">
        <v>292</v>
      </c>
      <c r="D2687" s="625"/>
      <c r="E2687" s="639">
        <v>-0.02</v>
      </c>
    </row>
    <row r="2688" spans="1:5" hidden="1" x14ac:dyDescent="0.25">
      <c r="A2688" s="494" t="s">
        <v>82</v>
      </c>
      <c r="B2688" s="477" t="s">
        <v>83</v>
      </c>
      <c r="C2688" s="508" t="s">
        <v>292</v>
      </c>
      <c r="D2688" s="625"/>
      <c r="E2688" s="639">
        <v>-0.01</v>
      </c>
    </row>
    <row r="2689" spans="1:5" ht="21" hidden="1" x14ac:dyDescent="0.25">
      <c r="A2689" s="605" t="s">
        <v>84</v>
      </c>
      <c r="B2689" s="604" t="s">
        <v>372</v>
      </c>
      <c r="C2689" s="508" t="s">
        <v>292</v>
      </c>
      <c r="D2689" s="462"/>
      <c r="E2689" s="589">
        <f>ROUND(E2667+E2675+E2683+E2687+E2688, 2)</f>
        <v>8.5399999999999991</v>
      </c>
    </row>
    <row r="2690" spans="1:5" hidden="1" x14ac:dyDescent="0.25">
      <c r="A2690" s="365" t="s">
        <v>85</v>
      </c>
      <c r="B2690" s="518" t="s">
        <v>86</v>
      </c>
      <c r="C2690" s="508" t="s">
        <v>373</v>
      </c>
      <c r="D2690" s="462"/>
      <c r="E2690" s="462">
        <v>0</v>
      </c>
    </row>
    <row r="2691" spans="1:5" hidden="1" x14ac:dyDescent="0.25">
      <c r="A2691" s="670" t="s">
        <v>87</v>
      </c>
      <c r="B2691" s="671" t="s">
        <v>88</v>
      </c>
      <c r="C2691" s="508" t="s">
        <v>292</v>
      </c>
      <c r="D2691" s="499"/>
      <c r="E2691" s="540">
        <f>E2689</f>
        <v>8.5399999999999991</v>
      </c>
    </row>
    <row r="2692" spans="1:5" hidden="1" x14ac:dyDescent="0.25">
      <c r="A2692" s="672" t="s">
        <v>89</v>
      </c>
      <c r="B2692" s="671" t="s">
        <v>444</v>
      </c>
      <c r="C2692" s="508" t="s">
        <v>292</v>
      </c>
      <c r="D2692" s="499"/>
      <c r="E2692" s="538">
        <f>E2691*1.09</f>
        <v>9.3086000000000002</v>
      </c>
    </row>
    <row r="2693" spans="1:5" hidden="1" x14ac:dyDescent="0.25">
      <c r="A2693" s="721" t="s">
        <v>91</v>
      </c>
      <c r="B2693" s="722" t="s">
        <v>92</v>
      </c>
      <c r="C2693" s="508" t="s">
        <v>292</v>
      </c>
      <c r="D2693" s="499"/>
      <c r="E2693" s="709">
        <v>8.6</v>
      </c>
    </row>
    <row r="2694" spans="1:5" hidden="1" x14ac:dyDescent="0.25">
      <c r="A2694" s="475" t="s">
        <v>93</v>
      </c>
      <c r="B2694" s="476" t="s">
        <v>374</v>
      </c>
      <c r="C2694" s="517" t="s">
        <v>95</v>
      </c>
      <c r="D2694" s="499"/>
      <c r="E2694" s="668">
        <f>(E2689/E2693)*100-100</f>
        <v>-0.69767441860464885</v>
      </c>
    </row>
    <row r="2695" spans="1:5" hidden="1" x14ac:dyDescent="0.25">
      <c r="A2695" s="494" t="s">
        <v>96</v>
      </c>
      <c r="B2695" s="477" t="s">
        <v>97</v>
      </c>
      <c r="C2695" s="130" t="s">
        <v>375</v>
      </c>
      <c r="D2695" s="500"/>
      <c r="E2695" s="666">
        <v>5312.308</v>
      </c>
    </row>
    <row r="2696" spans="1:5" hidden="1" x14ac:dyDescent="0.25">
      <c r="A2696" s="494" t="s">
        <v>99</v>
      </c>
      <c r="B2696" s="477" t="s">
        <v>376</v>
      </c>
      <c r="C2696" s="130" t="s">
        <v>375</v>
      </c>
      <c r="D2696" s="462"/>
      <c r="E2696" s="666">
        <v>5312.308</v>
      </c>
    </row>
    <row r="2697" spans="1:5" hidden="1" x14ac:dyDescent="0.25">
      <c r="A2697" s="478" t="s">
        <v>101</v>
      </c>
      <c r="B2697" s="477" t="s">
        <v>377</v>
      </c>
      <c r="C2697" s="130" t="s">
        <v>375</v>
      </c>
      <c r="D2697" s="501"/>
      <c r="E2697" s="667">
        <v>4380.4390000000003</v>
      </c>
    </row>
    <row r="2698" spans="1:5" hidden="1" x14ac:dyDescent="0.25">
      <c r="A2698" s="478">
        <v>14</v>
      </c>
      <c r="B2698" s="477" t="s">
        <v>378</v>
      </c>
      <c r="C2698" s="125" t="s">
        <v>375</v>
      </c>
      <c r="D2698" s="462"/>
      <c r="E2698" s="462">
        <v>0</v>
      </c>
    </row>
    <row r="2699" spans="1:5" hidden="1" x14ac:dyDescent="0.25">
      <c r="B2699" s="643"/>
    </row>
    <row r="2700" spans="1:5" hidden="1" x14ac:dyDescent="0.25"/>
    <row r="2701" spans="1:5" hidden="1" x14ac:dyDescent="0.25">
      <c r="B2701" t="s">
        <v>189</v>
      </c>
      <c r="C2701" t="s">
        <v>193</v>
      </c>
      <c r="D2701" s="146" t="s">
        <v>190</v>
      </c>
    </row>
    <row r="2702" spans="1:5" hidden="1" x14ac:dyDescent="0.25">
      <c r="C2702" s="153" t="s">
        <v>194</v>
      </c>
    </row>
    <row r="2703" spans="1:5" hidden="1" x14ac:dyDescent="0.25"/>
    <row r="2704" spans="1:5" hidden="1" x14ac:dyDescent="0.25"/>
    <row r="2705" spans="1:5" hidden="1" x14ac:dyDescent="0.25"/>
    <row r="2706" spans="1:5" hidden="1" x14ac:dyDescent="0.25"/>
    <row r="2707" spans="1:5" hidden="1" x14ac:dyDescent="0.25"/>
    <row r="2708" spans="1:5" hidden="1" x14ac:dyDescent="0.25"/>
    <row r="2709" spans="1:5" hidden="1" x14ac:dyDescent="0.25"/>
    <row r="2710" spans="1:5" hidden="1" x14ac:dyDescent="0.25"/>
    <row r="2711" spans="1:5" hidden="1" x14ac:dyDescent="0.25"/>
    <row r="2712" spans="1:5" hidden="1" x14ac:dyDescent="0.25"/>
    <row r="2713" spans="1:5" hidden="1" x14ac:dyDescent="0.25"/>
    <row r="2714" spans="1:5" hidden="1" x14ac:dyDescent="0.25"/>
    <row r="2715" spans="1:5" x14ac:dyDescent="0.25">
      <c r="A2715" s="463"/>
      <c r="B2715" s="463"/>
      <c r="C2715" s="463"/>
      <c r="D2715" s="592" t="s">
        <v>332</v>
      </c>
      <c r="E2715" s="772"/>
    </row>
    <row r="2716" spans="1:5" x14ac:dyDescent="0.25">
      <c r="A2716" s="463"/>
      <c r="B2716" s="463"/>
      <c r="C2716" s="463"/>
      <c r="D2716" s="851" t="s">
        <v>333</v>
      </c>
      <c r="E2716" s="851"/>
    </row>
    <row r="2717" spans="1:5" x14ac:dyDescent="0.25">
      <c r="A2717" s="463"/>
      <c r="B2717" s="463"/>
      <c r="C2717" s="463"/>
      <c r="D2717" s="851" t="s">
        <v>334</v>
      </c>
      <c r="E2717" s="851"/>
    </row>
    <row r="2718" spans="1:5" x14ac:dyDescent="0.25">
      <c r="A2718" s="463"/>
      <c r="B2718" s="463"/>
      <c r="C2718" s="463"/>
      <c r="D2718" s="750" t="s">
        <v>343</v>
      </c>
      <c r="E2718" s="772"/>
    </row>
    <row r="2719" spans="1:5" x14ac:dyDescent="0.25">
      <c r="A2719" s="463"/>
      <c r="B2719" s="463"/>
      <c r="C2719" s="463"/>
      <c r="D2719" s="463"/>
      <c r="E2719" s="771"/>
    </row>
    <row r="2720" spans="1:5" x14ac:dyDescent="0.25">
      <c r="A2720" s="481"/>
      <c r="B2720" s="465" t="s">
        <v>335</v>
      </c>
      <c r="C2720" s="464"/>
      <c r="D2720" s="465" t="s">
        <v>336</v>
      </c>
      <c r="E2720" s="773"/>
    </row>
    <row r="2721" spans="1:5" x14ac:dyDescent="0.25">
      <c r="A2721" s="481"/>
      <c r="B2721" s="464" t="s">
        <v>337</v>
      </c>
      <c r="C2721" s="464"/>
      <c r="D2721" s="465" t="s">
        <v>514</v>
      </c>
      <c r="E2721" s="773"/>
    </row>
    <row r="2722" spans="1:5" x14ac:dyDescent="0.25">
      <c r="A2722" s="481"/>
      <c r="B2722" s="465" t="s">
        <v>379</v>
      </c>
      <c r="C2722" s="466"/>
      <c r="D2722" s="465" t="s">
        <v>339</v>
      </c>
      <c r="E2722" s="773"/>
    </row>
    <row r="2723" spans="1:5" x14ac:dyDescent="0.25">
      <c r="A2723" s="481"/>
      <c r="B2723" s="465" t="s">
        <v>380</v>
      </c>
      <c r="C2723" s="464"/>
      <c r="D2723" s="465" t="s">
        <v>385</v>
      </c>
      <c r="E2723" s="773"/>
    </row>
    <row r="2724" spans="1:5" x14ac:dyDescent="0.25">
      <c r="A2724" s="481"/>
      <c r="B2724" s="465" t="s">
        <v>381</v>
      </c>
      <c r="C2724" s="464"/>
      <c r="D2724" s="465" t="s">
        <v>382</v>
      </c>
      <c r="E2724" s="773"/>
    </row>
    <row r="2725" spans="1:5" x14ac:dyDescent="0.25">
      <c r="A2725" s="481"/>
      <c r="B2725" s="465" t="s">
        <v>382</v>
      </c>
      <c r="C2725" s="464"/>
      <c r="D2725" s="465" t="s">
        <v>452</v>
      </c>
      <c r="E2725" s="774"/>
    </row>
    <row r="2726" spans="1:5" x14ac:dyDescent="0.25">
      <c r="A2726" s="481"/>
      <c r="B2726" s="465" t="s">
        <v>383</v>
      </c>
      <c r="C2726" s="467"/>
      <c r="D2726" s="465"/>
      <c r="E2726" s="773"/>
    </row>
    <row r="2727" spans="1:5" x14ac:dyDescent="0.25">
      <c r="A2727" s="481"/>
      <c r="B2727" s="465" t="s">
        <v>384</v>
      </c>
      <c r="C2727" s="467"/>
      <c r="D2727" s="465"/>
      <c r="E2727" s="773"/>
    </row>
    <row r="2728" spans="1:5" x14ac:dyDescent="0.25">
      <c r="A2728" s="152"/>
      <c r="B2728" s="132"/>
      <c r="C2728" s="132"/>
      <c r="D2728" s="132"/>
      <c r="E2728" s="775"/>
    </row>
    <row r="2729" spans="1:5" ht="15.75" x14ac:dyDescent="0.25">
      <c r="A2729" s="141" t="s">
        <v>296</v>
      </c>
      <c r="B2729" s="847" t="s">
        <v>526</v>
      </c>
      <c r="C2729" s="2"/>
      <c r="D2729" s="2"/>
      <c r="E2729" s="776"/>
    </row>
    <row r="2730" spans="1:5" ht="15.75" x14ac:dyDescent="0.25">
      <c r="A2730" s="141"/>
      <c r="B2730" s="141"/>
      <c r="C2730" s="629" t="s">
        <v>517</v>
      </c>
      <c r="D2730" s="2"/>
      <c r="E2730" s="776"/>
    </row>
    <row r="2731" spans="1:5" ht="15.75" x14ac:dyDescent="0.25">
      <c r="A2731" s="141"/>
      <c r="B2731" s="141"/>
      <c r="C2731" s="505" t="s">
        <v>191</v>
      </c>
      <c r="D2731" s="2"/>
      <c r="E2731" s="776"/>
    </row>
    <row r="2732" spans="1:5" ht="15.75" x14ac:dyDescent="0.25">
      <c r="A2732" s="141"/>
      <c r="B2732" s="141"/>
      <c r="C2732" s="505"/>
      <c r="D2732" s="2"/>
      <c r="E2732" s="776"/>
    </row>
    <row r="2733" spans="1:5" x14ac:dyDescent="0.25">
      <c r="A2733" s="483" t="s">
        <v>6</v>
      </c>
      <c r="B2733" s="2"/>
      <c r="C2733" s="2"/>
      <c r="D2733" s="2"/>
      <c r="E2733" s="777"/>
    </row>
    <row r="2734" spans="1:5" x14ac:dyDescent="0.25">
      <c r="A2734" s="482" t="s">
        <v>340</v>
      </c>
      <c r="B2734" s="1"/>
      <c r="C2734" s="1"/>
      <c r="D2734" s="1"/>
      <c r="E2734" s="771"/>
    </row>
    <row r="2735" spans="1:5" x14ac:dyDescent="0.25">
      <c r="A2735" s="482"/>
      <c r="B2735" s="1"/>
      <c r="C2735" s="1"/>
      <c r="D2735" s="1"/>
      <c r="E2735" s="771"/>
    </row>
    <row r="2736" spans="1:5" x14ac:dyDescent="0.25">
      <c r="A2736" s="132" t="s">
        <v>7</v>
      </c>
      <c r="B2736" s="1"/>
      <c r="C2736" s="1"/>
      <c r="D2736" s="1"/>
      <c r="E2736" s="771"/>
    </row>
    <row r="2737" spans="1:7" ht="25.5" customHeight="1" x14ac:dyDescent="0.25">
      <c r="A2737" s="852" t="s">
        <v>434</v>
      </c>
      <c r="B2737" s="852"/>
      <c r="C2737" s="852"/>
      <c r="D2737" s="852"/>
      <c r="E2737" s="852"/>
    </row>
    <row r="2738" spans="1:7" x14ac:dyDescent="0.25">
      <c r="A2738" s="469" t="s">
        <v>8</v>
      </c>
      <c r="B2738" s="469" t="s">
        <v>9</v>
      </c>
      <c r="C2738" s="469" t="s">
        <v>10</v>
      </c>
      <c r="D2738" s="469" t="s">
        <v>11</v>
      </c>
      <c r="E2738" s="763" t="s">
        <v>12</v>
      </c>
      <c r="G2738" s="836" t="s">
        <v>516</v>
      </c>
    </row>
    <row r="2739" spans="1:7" x14ac:dyDescent="0.25">
      <c r="A2739" s="25">
        <v>1</v>
      </c>
      <c r="B2739" s="25">
        <v>2</v>
      </c>
      <c r="C2739" s="25">
        <v>3</v>
      </c>
      <c r="D2739" s="25">
        <v>4</v>
      </c>
      <c r="E2739" s="764">
        <v>5</v>
      </c>
    </row>
    <row r="2740" spans="1:7" x14ac:dyDescent="0.25">
      <c r="A2740" s="487" t="s">
        <v>13</v>
      </c>
      <c r="B2740" s="468" t="s">
        <v>344</v>
      </c>
      <c r="C2740" s="442"/>
      <c r="D2740" s="442"/>
      <c r="E2740" s="778"/>
    </row>
    <row r="2741" spans="1:7" ht="21.75" x14ac:dyDescent="0.25">
      <c r="A2741" s="597" t="s">
        <v>15</v>
      </c>
      <c r="B2741" s="596" t="s">
        <v>347</v>
      </c>
      <c r="C2741" s="508" t="s">
        <v>292</v>
      </c>
      <c r="D2741" s="598" t="s">
        <v>349</v>
      </c>
      <c r="E2741" s="765">
        <f>E2742+E2743</f>
        <v>4.2699999999999996</v>
      </c>
      <c r="G2741">
        <v>4.08</v>
      </c>
    </row>
    <row r="2742" spans="1:7" ht="16.5" x14ac:dyDescent="0.25">
      <c r="A2742" s="751" t="s">
        <v>16</v>
      </c>
      <c r="B2742" s="760" t="s">
        <v>346</v>
      </c>
      <c r="C2742" s="508" t="s">
        <v>292</v>
      </c>
      <c r="D2742" s="600" t="s">
        <v>350</v>
      </c>
      <c r="E2742" s="766">
        <v>1.44</v>
      </c>
      <c r="G2742">
        <v>1.44</v>
      </c>
    </row>
    <row r="2743" spans="1:7" ht="16.5" x14ac:dyDescent="0.25">
      <c r="A2743" s="853" t="s">
        <v>17</v>
      </c>
      <c r="B2743" s="760" t="s">
        <v>345</v>
      </c>
      <c r="C2743" s="508" t="s">
        <v>292</v>
      </c>
      <c r="D2743" s="631" t="s">
        <v>409</v>
      </c>
      <c r="E2743" s="832">
        <f>ROUND(0.09+((1653*$E$2749+24345*$E$2753+422.4*$E$2757+190*$E$2761+274.5*$E$2765+9*$E$2769+64.3*$E$2773)/(44.84*1000))/10,2)</f>
        <v>2.83</v>
      </c>
      <c r="G2743">
        <v>2.64</v>
      </c>
    </row>
    <row r="2744" spans="1:7" ht="45" x14ac:dyDescent="0.25">
      <c r="A2744" s="853"/>
      <c r="B2744" s="509" t="s">
        <v>345</v>
      </c>
      <c r="C2744" s="640" t="s">
        <v>348</v>
      </c>
      <c r="D2744" s="803" t="s">
        <v>493</v>
      </c>
      <c r="E2744" s="788"/>
    </row>
    <row r="2745" spans="1:7" x14ac:dyDescent="0.25">
      <c r="A2745" s="488" t="s">
        <v>21</v>
      </c>
      <c r="B2745" s="337" t="s">
        <v>351</v>
      </c>
      <c r="C2745" s="31"/>
      <c r="D2745" s="337"/>
      <c r="E2745" s="779"/>
    </row>
    <row r="2746" spans="1:7" x14ac:dyDescent="0.25">
      <c r="A2746" s="36" t="s">
        <v>23</v>
      </c>
      <c r="B2746" s="41" t="s">
        <v>515</v>
      </c>
      <c r="C2746" s="42"/>
      <c r="D2746" s="42"/>
      <c r="E2746" s="780"/>
    </row>
    <row r="2747" spans="1:7" x14ac:dyDescent="0.25">
      <c r="A2747" s="25" t="s">
        <v>25</v>
      </c>
      <c r="B2747" s="24" t="s">
        <v>26</v>
      </c>
      <c r="C2747" s="617" t="s">
        <v>399</v>
      </c>
      <c r="D2747" s="24"/>
      <c r="E2747" s="541">
        <f>'Kuro struktūra'!$K$6+'Kuro struktūra'!$M$6</f>
        <v>141.43</v>
      </c>
      <c r="G2747">
        <v>140.27000000000001</v>
      </c>
    </row>
    <row r="2748" spans="1:7" x14ac:dyDescent="0.25">
      <c r="A2748" s="25" t="s">
        <v>27</v>
      </c>
      <c r="B2748" s="24" t="s">
        <v>28</v>
      </c>
      <c r="C2748" s="618" t="s">
        <v>399</v>
      </c>
      <c r="D2748" s="24"/>
      <c r="E2748" s="541"/>
    </row>
    <row r="2749" spans="1:7" x14ac:dyDescent="0.25">
      <c r="A2749" s="25" t="s">
        <v>29</v>
      </c>
      <c r="B2749" s="24" t="s">
        <v>30</v>
      </c>
      <c r="C2749" s="618" t="s">
        <v>399</v>
      </c>
      <c r="D2749" s="24"/>
      <c r="E2749" s="767">
        <f>+E2747+E2748</f>
        <v>141.43</v>
      </c>
      <c r="G2749">
        <v>140.27000000000001</v>
      </c>
    </row>
    <row r="2750" spans="1:7" x14ac:dyDescent="0.25">
      <c r="A2750" s="37" t="s">
        <v>31</v>
      </c>
      <c r="B2750" s="506" t="s">
        <v>24</v>
      </c>
      <c r="C2750" s="49"/>
      <c r="D2750" s="49"/>
      <c r="E2750" s="781"/>
    </row>
    <row r="2751" spans="1:7" x14ac:dyDescent="0.25">
      <c r="A2751" s="25" t="s">
        <v>35</v>
      </c>
      <c r="B2751" s="24" t="s">
        <v>26</v>
      </c>
      <c r="C2751" s="628" t="s">
        <v>328</v>
      </c>
      <c r="D2751" s="24"/>
      <c r="E2751" s="541">
        <f>'Kuro struktūra'!K5</f>
        <v>17.5</v>
      </c>
      <c r="G2751" s="266">
        <v>17.5</v>
      </c>
    </row>
    <row r="2752" spans="1:7" x14ac:dyDescent="0.25">
      <c r="A2752" s="25" t="s">
        <v>36</v>
      </c>
      <c r="B2752" s="24" t="s">
        <v>28</v>
      </c>
      <c r="C2752" s="616" t="s">
        <v>328</v>
      </c>
      <c r="D2752" s="24"/>
      <c r="E2752" s="764">
        <f>'Kuro struktūra'!L5+'Kuro struktūra'!M5</f>
        <v>16.149999999999999</v>
      </c>
      <c r="G2752">
        <v>12.680000000000001</v>
      </c>
    </row>
    <row r="2753" spans="1:7" x14ac:dyDescent="0.25">
      <c r="A2753" s="25" t="s">
        <v>37</v>
      </c>
      <c r="B2753" s="38" t="s">
        <v>30</v>
      </c>
      <c r="C2753" s="616" t="s">
        <v>328</v>
      </c>
      <c r="D2753" s="24"/>
      <c r="E2753" s="768">
        <f>E2751+E2752</f>
        <v>33.65</v>
      </c>
      <c r="G2753">
        <v>30.18</v>
      </c>
    </row>
    <row r="2754" spans="1:7" x14ac:dyDescent="0.25">
      <c r="A2754" s="36" t="s">
        <v>34</v>
      </c>
      <c r="B2754" s="41" t="s">
        <v>103</v>
      </c>
      <c r="C2754" s="42"/>
      <c r="D2754" s="42"/>
      <c r="E2754" s="780"/>
    </row>
    <row r="2755" spans="1:7" x14ac:dyDescent="0.25">
      <c r="A2755" s="25" t="s">
        <v>38</v>
      </c>
      <c r="B2755" s="24" t="s">
        <v>26</v>
      </c>
      <c r="C2755" s="617" t="s">
        <v>399</v>
      </c>
      <c r="D2755" s="24"/>
      <c r="E2755" s="541">
        <f>'Kuro struktūra'!$K$7</f>
        <v>192.28</v>
      </c>
      <c r="G2755">
        <v>202.77600000000001</v>
      </c>
    </row>
    <row r="2756" spans="1:7" x14ac:dyDescent="0.25">
      <c r="A2756" s="25" t="s">
        <v>39</v>
      </c>
      <c r="B2756" s="24" t="s">
        <v>28</v>
      </c>
      <c r="C2756" s="618" t="s">
        <v>399</v>
      </c>
      <c r="D2756" s="24"/>
      <c r="E2756" s="541">
        <f>'Kuro struktūra'!$L$7</f>
        <v>10.69</v>
      </c>
      <c r="G2756">
        <v>10.69</v>
      </c>
    </row>
    <row r="2757" spans="1:7" x14ac:dyDescent="0.25">
      <c r="A2757" s="25" t="s">
        <v>40</v>
      </c>
      <c r="B2757" s="24" t="s">
        <v>30</v>
      </c>
      <c r="C2757" s="618" t="s">
        <v>399</v>
      </c>
      <c r="D2757" s="24"/>
      <c r="E2757" s="767">
        <f>+E2755+E2756</f>
        <v>202.97</v>
      </c>
      <c r="G2757">
        <v>213.46600000000001</v>
      </c>
    </row>
    <row r="2758" spans="1:7" x14ac:dyDescent="0.25">
      <c r="A2758" s="37" t="s">
        <v>352</v>
      </c>
      <c r="B2758" s="506" t="s">
        <v>474</v>
      </c>
      <c r="C2758" s="49"/>
      <c r="D2758" s="49"/>
      <c r="E2758" s="781"/>
    </row>
    <row r="2759" spans="1:7" x14ac:dyDescent="0.25">
      <c r="A2759" s="25" t="s">
        <v>353</v>
      </c>
      <c r="B2759" s="24" t="s">
        <v>26</v>
      </c>
      <c r="C2759" s="628" t="s">
        <v>399</v>
      </c>
      <c r="D2759" s="24"/>
      <c r="E2759" s="541">
        <f>'Kuro struktūra'!$K$8</f>
        <v>149.66999999999999</v>
      </c>
      <c r="G2759">
        <v>154.5</v>
      </c>
    </row>
    <row r="2760" spans="1:7" x14ac:dyDescent="0.25">
      <c r="A2760" s="25" t="s">
        <v>354</v>
      </c>
      <c r="B2760" s="24" t="s">
        <v>28</v>
      </c>
      <c r="C2760" s="616" t="s">
        <v>399</v>
      </c>
      <c r="D2760" s="24"/>
      <c r="E2760" s="764"/>
    </row>
    <row r="2761" spans="1:7" x14ac:dyDescent="0.25">
      <c r="A2761" s="25" t="s">
        <v>355</v>
      </c>
      <c r="B2761" s="38" t="s">
        <v>30</v>
      </c>
      <c r="C2761" s="616" t="s">
        <v>399</v>
      </c>
      <c r="D2761" s="24"/>
      <c r="E2761" s="768">
        <f>+E2759+E2760</f>
        <v>149.66999999999999</v>
      </c>
      <c r="G2761">
        <v>154.5</v>
      </c>
    </row>
    <row r="2762" spans="1:7" x14ac:dyDescent="0.25">
      <c r="A2762" s="36" t="s">
        <v>460</v>
      </c>
      <c r="B2762" s="41" t="s">
        <v>472</v>
      </c>
      <c r="C2762" s="42"/>
      <c r="D2762" s="42"/>
      <c r="E2762" s="780"/>
    </row>
    <row r="2763" spans="1:7" x14ac:dyDescent="0.25">
      <c r="A2763" s="25" t="s">
        <v>463</v>
      </c>
      <c r="B2763" s="24" t="s">
        <v>26</v>
      </c>
      <c r="C2763" s="628" t="s">
        <v>399</v>
      </c>
      <c r="D2763" s="24"/>
      <c r="E2763" s="541">
        <f>'Kuro struktūra'!$K$9</f>
        <v>133.37</v>
      </c>
      <c r="G2763">
        <v>120.33</v>
      </c>
    </row>
    <row r="2764" spans="1:7" x14ac:dyDescent="0.25">
      <c r="A2764" s="25" t="s">
        <v>464</v>
      </c>
      <c r="B2764" s="24" t="s">
        <v>28</v>
      </c>
      <c r="C2764" s="616" t="s">
        <v>399</v>
      </c>
      <c r="D2764" s="24"/>
      <c r="E2764" s="764">
        <f>'Kuro struktūra'!$L$9</f>
        <v>0</v>
      </c>
      <c r="G2764">
        <v>0</v>
      </c>
    </row>
    <row r="2765" spans="1:7" x14ac:dyDescent="0.25">
      <c r="A2765" s="25" t="s">
        <v>465</v>
      </c>
      <c r="B2765" s="38" t="s">
        <v>30</v>
      </c>
      <c r="C2765" s="616" t="s">
        <v>399</v>
      </c>
      <c r="D2765" s="24"/>
      <c r="E2765" s="768">
        <f>+E2763+E2764</f>
        <v>133.37</v>
      </c>
      <c r="G2765">
        <v>120.33</v>
      </c>
    </row>
    <row r="2766" spans="1:7" x14ac:dyDescent="0.25">
      <c r="A2766" s="37" t="s">
        <v>461</v>
      </c>
      <c r="B2766" s="506" t="s">
        <v>473</v>
      </c>
      <c r="C2766" s="49"/>
      <c r="D2766" s="49"/>
      <c r="E2766" s="781"/>
    </row>
    <row r="2767" spans="1:7" x14ac:dyDescent="0.25">
      <c r="A2767" s="25" t="s">
        <v>466</v>
      </c>
      <c r="B2767" s="24" t="s">
        <v>26</v>
      </c>
      <c r="C2767" s="628" t="s">
        <v>399</v>
      </c>
      <c r="D2767" s="24"/>
      <c r="E2767" s="541">
        <f>'Kuro struktūra'!$K$10</f>
        <v>282.01949999999999</v>
      </c>
      <c r="G2767">
        <v>280.25550000000004</v>
      </c>
    </row>
    <row r="2768" spans="1:7" x14ac:dyDescent="0.25">
      <c r="A2768" s="25" t="s">
        <v>467</v>
      </c>
      <c r="B2768" s="24" t="s">
        <v>28</v>
      </c>
      <c r="C2768" s="616" t="s">
        <v>399</v>
      </c>
      <c r="D2768" s="24"/>
      <c r="E2768" s="764"/>
    </row>
    <row r="2769" spans="1:7" x14ac:dyDescent="0.25">
      <c r="A2769" s="25" t="s">
        <v>468</v>
      </c>
      <c r="B2769" s="38" t="s">
        <v>30</v>
      </c>
      <c r="C2769" s="616" t="s">
        <v>399</v>
      </c>
      <c r="D2769" s="24"/>
      <c r="E2769" s="767">
        <f>+E2767+E2768</f>
        <v>282.01949999999999</v>
      </c>
      <c r="G2769">
        <v>280.25550000000004</v>
      </c>
    </row>
    <row r="2770" spans="1:7" x14ac:dyDescent="0.25">
      <c r="A2770" s="36" t="s">
        <v>462</v>
      </c>
      <c r="B2770" s="41" t="s">
        <v>477</v>
      </c>
      <c r="C2770" s="42"/>
      <c r="D2770" s="42"/>
      <c r="E2770" s="780"/>
    </row>
    <row r="2771" spans="1:7" x14ac:dyDescent="0.25">
      <c r="A2771" s="25" t="s">
        <v>469</v>
      </c>
      <c r="B2771" s="24" t="s">
        <v>26</v>
      </c>
      <c r="C2771" s="628" t="s">
        <v>399</v>
      </c>
      <c r="D2771" s="24"/>
      <c r="E2771" s="541">
        <f>'Kuro struktūra'!$K$11</f>
        <v>312.06</v>
      </c>
      <c r="G2771">
        <v>347.5</v>
      </c>
    </row>
    <row r="2772" spans="1:7" x14ac:dyDescent="0.25">
      <c r="A2772" s="25" t="s">
        <v>470</v>
      </c>
      <c r="B2772" s="24" t="s">
        <v>28</v>
      </c>
      <c r="C2772" s="616" t="s">
        <v>399</v>
      </c>
      <c r="D2772" s="24"/>
      <c r="E2772" s="764"/>
    </row>
    <row r="2773" spans="1:7" x14ac:dyDescent="0.25">
      <c r="A2773" s="25" t="s">
        <v>471</v>
      </c>
      <c r="B2773" s="38" t="s">
        <v>30</v>
      </c>
      <c r="C2773" s="616" t="s">
        <v>399</v>
      </c>
      <c r="D2773" s="24"/>
      <c r="E2773" s="767">
        <f>+E2771+E2772</f>
        <v>312.06</v>
      </c>
      <c r="G2773">
        <v>347.5</v>
      </c>
    </row>
    <row r="2774" spans="1:7" x14ac:dyDescent="0.25">
      <c r="A2774" s="490" t="s">
        <v>42</v>
      </c>
      <c r="B2774" s="471" t="s">
        <v>356</v>
      </c>
      <c r="C2774" s="52"/>
      <c r="D2774" s="52"/>
      <c r="E2774" s="782"/>
    </row>
    <row r="2775" spans="1:7" x14ac:dyDescent="0.25">
      <c r="A2775" s="25" t="s">
        <v>44</v>
      </c>
      <c r="B2775" s="24" t="s">
        <v>357</v>
      </c>
      <c r="C2775" s="24"/>
      <c r="D2775" s="24"/>
      <c r="E2775" s="764" t="s">
        <v>106</v>
      </c>
      <c r="G2775" t="s">
        <v>106</v>
      </c>
    </row>
    <row r="2776" spans="1:7" ht="15" customHeight="1" x14ac:dyDescent="0.25">
      <c r="A2776" s="25" t="s">
        <v>45</v>
      </c>
      <c r="B2776" s="24" t="s">
        <v>358</v>
      </c>
      <c r="C2776" s="508" t="s">
        <v>292</v>
      </c>
      <c r="D2776" s="24"/>
      <c r="E2776" s="764">
        <v>0</v>
      </c>
      <c r="G2776">
        <v>0</v>
      </c>
    </row>
    <row r="2777" spans="1:7" ht="22.5" x14ac:dyDescent="0.25">
      <c r="A2777" s="491" t="s">
        <v>46</v>
      </c>
      <c r="B2777" s="503" t="s">
        <v>359</v>
      </c>
      <c r="C2777" s="508" t="s">
        <v>292</v>
      </c>
      <c r="D2777" s="495" t="s">
        <v>387</v>
      </c>
      <c r="E2777" s="783">
        <f>E2778+E2779</f>
        <v>4.2699999999999996</v>
      </c>
      <c r="G2777">
        <v>4.08</v>
      </c>
    </row>
    <row r="2778" spans="1:7" ht="16.5" x14ac:dyDescent="0.25">
      <c r="A2778" s="25" t="s">
        <v>48</v>
      </c>
      <c r="B2778" s="24" t="s">
        <v>49</v>
      </c>
      <c r="C2778" s="508" t="s">
        <v>292</v>
      </c>
      <c r="D2778" s="600" t="s">
        <v>388</v>
      </c>
      <c r="E2778" s="541">
        <f>E2742</f>
        <v>1.44</v>
      </c>
      <c r="G2778">
        <v>1.44</v>
      </c>
    </row>
    <row r="2779" spans="1:7" ht="16.5" x14ac:dyDescent="0.25">
      <c r="A2779" s="854" t="s">
        <v>50</v>
      </c>
      <c r="B2779" s="472" t="s">
        <v>51</v>
      </c>
      <c r="C2779" s="511" t="s">
        <v>292</v>
      </c>
      <c r="D2779" s="600" t="s">
        <v>389</v>
      </c>
      <c r="E2779" s="784">
        <f>E2743</f>
        <v>2.83</v>
      </c>
      <c r="G2779">
        <v>2.64</v>
      </c>
    </row>
    <row r="2780" spans="1:7" ht="45" x14ac:dyDescent="0.25">
      <c r="A2780" s="855"/>
      <c r="B2780" s="509" t="s">
        <v>51</v>
      </c>
      <c r="C2780" s="512" t="s">
        <v>348</v>
      </c>
      <c r="D2780" s="803" t="s">
        <v>493</v>
      </c>
      <c r="E2780" s="798"/>
    </row>
    <row r="2781" spans="1:7" x14ac:dyDescent="0.25">
      <c r="A2781" s="25" t="s">
        <v>52</v>
      </c>
      <c r="B2781" s="492" t="s">
        <v>360</v>
      </c>
      <c r="C2781" s="33"/>
      <c r="D2781" s="33"/>
      <c r="E2781" s="779"/>
    </row>
    <row r="2782" spans="1:7" ht="18.75" x14ac:dyDescent="0.3">
      <c r="A2782" s="25" t="s">
        <v>54</v>
      </c>
      <c r="B2782" s="24" t="s">
        <v>361</v>
      </c>
      <c r="C2782" s="11" t="s">
        <v>362</v>
      </c>
      <c r="D2782" s="497" t="s">
        <v>390</v>
      </c>
      <c r="E2782" s="764">
        <v>10.54</v>
      </c>
      <c r="G2782">
        <v>10.54</v>
      </c>
    </row>
    <row r="2783" spans="1:7" ht="16.5" x14ac:dyDescent="0.3">
      <c r="A2783" s="25" t="s">
        <v>57</v>
      </c>
      <c r="B2783" s="24" t="s">
        <v>58</v>
      </c>
      <c r="C2783" s="508" t="s">
        <v>292</v>
      </c>
      <c r="D2783" s="498" t="s">
        <v>389</v>
      </c>
      <c r="E2783" s="541">
        <f>E2779</f>
        <v>2.83</v>
      </c>
      <c r="G2783">
        <v>2.64</v>
      </c>
    </row>
    <row r="2784" spans="1:7" x14ac:dyDescent="0.25">
      <c r="A2784" s="34" t="s">
        <v>60</v>
      </c>
      <c r="B2784" s="504" t="s">
        <v>61</v>
      </c>
      <c r="C2784" s="502"/>
      <c r="D2784" s="502"/>
      <c r="E2784" s="785"/>
    </row>
    <row r="2785" spans="1:9" ht="16.5" x14ac:dyDescent="0.25">
      <c r="A2785" s="602" t="s">
        <v>62</v>
      </c>
      <c r="B2785" s="601" t="s">
        <v>363</v>
      </c>
      <c r="C2785" s="508" t="s">
        <v>292</v>
      </c>
      <c r="D2785" s="600" t="s">
        <v>391</v>
      </c>
      <c r="E2785" s="786">
        <f>E2786+E2787</f>
        <v>1.7322021276595745</v>
      </c>
      <c r="G2785">
        <v>1.6956170212765957</v>
      </c>
    </row>
    <row r="2786" spans="1:9" ht="16.5" x14ac:dyDescent="0.25">
      <c r="A2786" s="27" t="s">
        <v>63</v>
      </c>
      <c r="B2786" s="642" t="s">
        <v>64</v>
      </c>
      <c r="C2786" s="508" t="s">
        <v>292</v>
      </c>
      <c r="D2786" s="600" t="s">
        <v>392</v>
      </c>
      <c r="E2786" s="779">
        <v>0.79</v>
      </c>
      <c r="G2786">
        <v>0.79</v>
      </c>
    </row>
    <row r="2787" spans="1:9" ht="16.5" x14ac:dyDescent="0.25">
      <c r="A2787" s="856" t="s">
        <v>65</v>
      </c>
      <c r="B2787" s="603" t="s">
        <v>66</v>
      </c>
      <c r="C2787" s="508" t="s">
        <v>292</v>
      </c>
      <c r="D2787" s="630" t="s">
        <v>408</v>
      </c>
      <c r="E2787" s="787">
        <f>0.12+(7.24*E2741)/37.6</f>
        <v>0.94220212765957434</v>
      </c>
      <c r="G2787">
        <v>0.90561702127659571</v>
      </c>
    </row>
    <row r="2788" spans="1:9" x14ac:dyDescent="0.25">
      <c r="A2788" s="857"/>
      <c r="B2788" s="619" t="s">
        <v>66</v>
      </c>
      <c r="C2788" s="513" t="s">
        <v>348</v>
      </c>
      <c r="D2788" s="641" t="s">
        <v>436</v>
      </c>
      <c r="E2788" s="788"/>
    </row>
    <row r="2789" spans="1:9" x14ac:dyDescent="0.25">
      <c r="A2789" s="470" t="s">
        <v>67</v>
      </c>
      <c r="B2789" s="473" t="s">
        <v>364</v>
      </c>
      <c r="C2789" s="9"/>
      <c r="D2789" s="24"/>
      <c r="E2789" s="764"/>
    </row>
    <row r="2790" spans="1:9" ht="18.75" x14ac:dyDescent="0.3">
      <c r="A2790" s="470" t="s">
        <v>69</v>
      </c>
      <c r="B2790" s="473" t="s">
        <v>361</v>
      </c>
      <c r="C2790" s="515" t="s">
        <v>362</v>
      </c>
      <c r="D2790" s="497" t="s">
        <v>393</v>
      </c>
      <c r="E2790" s="541">
        <v>5.24</v>
      </c>
      <c r="G2790">
        <v>5.24</v>
      </c>
    </row>
    <row r="2791" spans="1:9" ht="16.5" x14ac:dyDescent="0.3">
      <c r="A2791" s="470" t="s">
        <v>70</v>
      </c>
      <c r="B2791" s="473" t="s">
        <v>365</v>
      </c>
      <c r="C2791" s="508" t="s">
        <v>292</v>
      </c>
      <c r="D2791" s="498" t="s">
        <v>394</v>
      </c>
      <c r="E2791" s="541">
        <f>E2787</f>
        <v>0.94220212765957434</v>
      </c>
      <c r="G2791">
        <v>0.90561702127659571</v>
      </c>
    </row>
    <row r="2792" spans="1:9" x14ac:dyDescent="0.25">
      <c r="A2792" s="126" t="s">
        <v>72</v>
      </c>
      <c r="B2792" s="504" t="s">
        <v>366</v>
      </c>
      <c r="C2792" s="516"/>
      <c r="D2792" s="502"/>
      <c r="E2792" s="785"/>
    </row>
    <row r="2793" spans="1:9" ht="16.5" x14ac:dyDescent="0.3">
      <c r="A2793" s="474" t="s">
        <v>79</v>
      </c>
      <c r="B2793" s="473" t="s">
        <v>367</v>
      </c>
      <c r="C2793" s="508" t="s">
        <v>292</v>
      </c>
      <c r="D2793" s="497" t="s">
        <v>370</v>
      </c>
      <c r="E2793" s="783">
        <v>0.1</v>
      </c>
      <c r="G2793">
        <v>0.1</v>
      </c>
    </row>
    <row r="2794" spans="1:9" ht="18.75" x14ac:dyDescent="0.3">
      <c r="A2794" s="474" t="s">
        <v>368</v>
      </c>
      <c r="B2794" s="626" t="s">
        <v>400</v>
      </c>
      <c r="C2794" s="627" t="s">
        <v>401</v>
      </c>
      <c r="D2794" s="621" t="s">
        <v>403</v>
      </c>
      <c r="E2794" s="789">
        <v>14.96</v>
      </c>
      <c r="G2794">
        <v>14.96</v>
      </c>
    </row>
    <row r="2795" spans="1:9" ht="18.75" x14ac:dyDescent="0.3">
      <c r="A2795" s="474" t="s">
        <v>369</v>
      </c>
      <c r="B2795" s="626" t="s">
        <v>402</v>
      </c>
      <c r="C2795" s="627" t="s">
        <v>401</v>
      </c>
      <c r="D2795" s="620" t="s">
        <v>404</v>
      </c>
      <c r="E2795" s="789">
        <v>0.75</v>
      </c>
      <c r="G2795">
        <v>0.75</v>
      </c>
    </row>
    <row r="2796" spans="1:9" ht="33" x14ac:dyDescent="0.25">
      <c r="A2796" s="493" t="s">
        <v>115</v>
      </c>
      <c r="B2796" s="622" t="s">
        <v>371</v>
      </c>
      <c r="C2796" s="623"/>
      <c r="D2796" s="624"/>
      <c r="E2796" s="790"/>
    </row>
    <row r="2797" spans="1:9" x14ac:dyDescent="0.25">
      <c r="A2797" s="494" t="s">
        <v>80</v>
      </c>
      <c r="B2797" s="477" t="s">
        <v>81</v>
      </c>
      <c r="C2797" s="508" t="s">
        <v>292</v>
      </c>
      <c r="D2797" s="625"/>
      <c r="E2797" s="791">
        <v>-0.02</v>
      </c>
      <c r="G2797">
        <v>-0.02</v>
      </c>
    </row>
    <row r="2798" spans="1:9" x14ac:dyDescent="0.25">
      <c r="A2798" s="494" t="s">
        <v>82</v>
      </c>
      <c r="B2798" s="477" t="s">
        <v>83</v>
      </c>
      <c r="C2798" s="508" t="s">
        <v>292</v>
      </c>
      <c r="D2798" s="625"/>
      <c r="E2798" s="791">
        <v>-0.01</v>
      </c>
      <c r="G2798">
        <v>-0.01</v>
      </c>
    </row>
    <row r="2799" spans="1:9" ht="21" x14ac:dyDescent="0.25">
      <c r="A2799" s="605" t="s">
        <v>84</v>
      </c>
      <c r="B2799" s="604" t="s">
        <v>372</v>
      </c>
      <c r="C2799" s="508" t="s">
        <v>292</v>
      </c>
      <c r="D2799" s="462"/>
      <c r="E2799" s="769">
        <f>ROUND(E2777+E2785+E2793+E2797+E2798, 2)</f>
        <v>6.07</v>
      </c>
      <c r="G2799">
        <v>5.85</v>
      </c>
      <c r="I2799" s="796"/>
    </row>
    <row r="2800" spans="1:9" x14ac:dyDescent="0.25">
      <c r="A2800" s="365" t="s">
        <v>85</v>
      </c>
      <c r="B2800" s="518" t="s">
        <v>86</v>
      </c>
      <c r="C2800" s="508" t="s">
        <v>373</v>
      </c>
      <c r="D2800" s="462"/>
      <c r="E2800" s="789">
        <v>0</v>
      </c>
      <c r="G2800">
        <v>0</v>
      </c>
    </row>
    <row r="2801" spans="1:9" x14ac:dyDescent="0.25">
      <c r="A2801" s="754" t="s">
        <v>87</v>
      </c>
      <c r="B2801" s="753" t="s">
        <v>88</v>
      </c>
      <c r="C2801" s="508" t="s">
        <v>292</v>
      </c>
      <c r="D2801" s="499"/>
      <c r="E2801" s="770">
        <f>E2799</f>
        <v>6.07</v>
      </c>
      <c r="G2801">
        <v>5.85</v>
      </c>
      <c r="H2801" s="266"/>
      <c r="I2801" s="849"/>
    </row>
    <row r="2802" spans="1:9" x14ac:dyDescent="0.25">
      <c r="A2802" s="752" t="s">
        <v>89</v>
      </c>
      <c r="B2802" s="753" t="s">
        <v>444</v>
      </c>
      <c r="C2802" s="508" t="s">
        <v>292</v>
      </c>
      <c r="D2802" s="499"/>
      <c r="E2802" s="770">
        <f>E2801*1.09</f>
        <v>6.6163000000000007</v>
      </c>
      <c r="G2802" s="266">
        <v>6.3765000000000001</v>
      </c>
      <c r="H2802" s="266"/>
    </row>
    <row r="2803" spans="1:9" x14ac:dyDescent="0.25">
      <c r="A2803" s="721" t="s">
        <v>91</v>
      </c>
      <c r="B2803" s="722" t="s">
        <v>92</v>
      </c>
      <c r="C2803" s="508" t="s">
        <v>292</v>
      </c>
      <c r="D2803" s="499"/>
      <c r="E2803" s="792">
        <v>5.85</v>
      </c>
      <c r="G2803">
        <v>8.5399999999999991</v>
      </c>
    </row>
    <row r="2804" spans="1:9" x14ac:dyDescent="0.25">
      <c r="A2804" s="475" t="s">
        <v>93</v>
      </c>
      <c r="B2804" s="476" t="s">
        <v>374</v>
      </c>
      <c r="C2804" s="517" t="s">
        <v>95</v>
      </c>
      <c r="D2804" s="499"/>
      <c r="E2804" s="793">
        <f>(E2799/E2803)*100-100</f>
        <v>3.7606837606837757</v>
      </c>
    </row>
    <row r="2805" spans="1:9" x14ac:dyDescent="0.25">
      <c r="A2805" s="494" t="s">
        <v>96</v>
      </c>
      <c r="B2805" s="477" t="s">
        <v>97</v>
      </c>
      <c r="C2805" s="130" t="s">
        <v>375</v>
      </c>
      <c r="D2805" s="500"/>
      <c r="E2805" s="794">
        <v>5309835</v>
      </c>
      <c r="G2805">
        <v>7885.1009999999997</v>
      </c>
    </row>
    <row r="2806" spans="1:9" x14ac:dyDescent="0.25">
      <c r="A2806" s="494" t="s">
        <v>99</v>
      </c>
      <c r="B2806" s="477" t="s">
        <v>376</v>
      </c>
      <c r="C2806" s="130" t="s">
        <v>375</v>
      </c>
      <c r="D2806" s="462"/>
      <c r="E2806" s="794">
        <v>5309835</v>
      </c>
      <c r="G2806">
        <v>7885.1009999999997</v>
      </c>
    </row>
    <row r="2807" spans="1:9" x14ac:dyDescent="0.25">
      <c r="A2807" s="478" t="s">
        <v>101</v>
      </c>
      <c r="B2807" s="477" t="s">
        <v>377</v>
      </c>
      <c r="C2807" s="130" t="s">
        <v>375</v>
      </c>
      <c r="D2807" s="501"/>
      <c r="E2807" s="795">
        <v>4872151</v>
      </c>
      <c r="G2807">
        <v>6905.8980000000001</v>
      </c>
    </row>
    <row r="2808" spans="1:9" x14ac:dyDescent="0.25">
      <c r="A2808" s="478">
        <v>14</v>
      </c>
      <c r="B2808" s="477" t="s">
        <v>378</v>
      </c>
      <c r="C2808" s="125" t="s">
        <v>375</v>
      </c>
      <c r="D2808" s="462"/>
      <c r="E2808" s="789">
        <v>0</v>
      </c>
      <c r="G2808">
        <v>0</v>
      </c>
    </row>
    <row r="2809" spans="1:9" x14ac:dyDescent="0.25">
      <c r="B2809" s="643"/>
      <c r="E2809" s="776"/>
    </row>
    <row r="2810" spans="1:9" x14ac:dyDescent="0.25">
      <c r="E2810" s="776"/>
    </row>
    <row r="2811" spans="1:9" x14ac:dyDescent="0.25">
      <c r="B2811" t="s">
        <v>189</v>
      </c>
      <c r="C2811" s="831" t="s">
        <v>193</v>
      </c>
      <c r="D2811" s="146" t="s">
        <v>190</v>
      </c>
      <c r="E2811" s="776"/>
    </row>
    <row r="2812" spans="1:9" x14ac:dyDescent="0.25">
      <c r="C2812" s="153" t="s">
        <v>194</v>
      </c>
      <c r="E2812" s="776"/>
    </row>
  </sheetData>
  <mergeCells count="144">
    <mergeCell ref="A1976:A1977"/>
    <mergeCell ref="B1976:B1977"/>
    <mergeCell ref="A2394:A2395"/>
    <mergeCell ref="A2402:A2403"/>
    <mergeCell ref="A2130:A2131"/>
    <mergeCell ref="A2138:A2139"/>
    <mergeCell ref="D2343:E2343"/>
    <mergeCell ref="D2344:E2344"/>
    <mergeCell ref="A2364:E2364"/>
    <mergeCell ref="A2370:A2371"/>
    <mergeCell ref="A2277:E2277"/>
    <mergeCell ref="A2283:A2284"/>
    <mergeCell ref="A2307:A2308"/>
    <mergeCell ref="A2315:A2316"/>
    <mergeCell ref="A2190:E2190"/>
    <mergeCell ref="A2196:A2197"/>
    <mergeCell ref="A2220:A2221"/>
    <mergeCell ref="A2228:A2229"/>
    <mergeCell ref="D2256:E2256"/>
    <mergeCell ref="D2257:E2257"/>
    <mergeCell ref="A2010:E2010"/>
    <mergeCell ref="A2016:A2017"/>
    <mergeCell ref="A2040:A2041"/>
    <mergeCell ref="A2048:A2049"/>
    <mergeCell ref="D1900:E1900"/>
    <mergeCell ref="A1920:E1920"/>
    <mergeCell ref="A1926:A1927"/>
    <mergeCell ref="A1950:A1951"/>
    <mergeCell ref="A1958:A1959"/>
    <mergeCell ref="A1972:A1973"/>
    <mergeCell ref="B1972:B1973"/>
    <mergeCell ref="A1974:A1975"/>
    <mergeCell ref="B1974:B1975"/>
    <mergeCell ref="A1884:A1885"/>
    <mergeCell ref="B1886:B1887"/>
    <mergeCell ref="A1886:A1887"/>
    <mergeCell ref="A1868:A1869"/>
    <mergeCell ref="D1899:E1899"/>
    <mergeCell ref="B1594:E1594"/>
    <mergeCell ref="B958:E958"/>
    <mergeCell ref="D1809:E1809"/>
    <mergeCell ref="B1334:E1334"/>
    <mergeCell ref="B1604:E1604"/>
    <mergeCell ref="B1781:E1781"/>
    <mergeCell ref="A1782:A1784"/>
    <mergeCell ref="B1771:E1771"/>
    <mergeCell ref="B317:E317"/>
    <mergeCell ref="A234:A236"/>
    <mergeCell ref="A1860:A1861"/>
    <mergeCell ref="B594:E594"/>
    <mergeCell ref="B499:E499"/>
    <mergeCell ref="B692:E692"/>
    <mergeCell ref="A693:A695"/>
    <mergeCell ref="A602:A604"/>
    <mergeCell ref="A784:A786"/>
    <mergeCell ref="B415:E415"/>
    <mergeCell ref="B408:E408"/>
    <mergeCell ref="A1605:A1607"/>
    <mergeCell ref="B1684:E1684"/>
    <mergeCell ref="B1694:E1694"/>
    <mergeCell ref="A1695:A1697"/>
    <mergeCell ref="B1424:E1424"/>
    <mergeCell ref="B44:E44"/>
    <mergeCell ref="B51:E51"/>
    <mergeCell ref="B233:E233"/>
    <mergeCell ref="B506:E506"/>
    <mergeCell ref="B226:E226"/>
    <mergeCell ref="A1148:A1150"/>
    <mergeCell ref="A52:A54"/>
    <mergeCell ref="B135:E135"/>
    <mergeCell ref="B142:E142"/>
    <mergeCell ref="B324:E324"/>
    <mergeCell ref="B776:E776"/>
    <mergeCell ref="A966:A968"/>
    <mergeCell ref="A507:A509"/>
    <mergeCell ref="B685:E685"/>
    <mergeCell ref="B601:E601"/>
    <mergeCell ref="B783:E783"/>
    <mergeCell ref="B867:E867"/>
    <mergeCell ref="B965:E965"/>
    <mergeCell ref="A875:A877"/>
    <mergeCell ref="B874:E874"/>
    <mergeCell ref="A143:A145"/>
    <mergeCell ref="A416:A418"/>
    <mergeCell ref="A325:A327"/>
    <mergeCell ref="B1140:E1140"/>
    <mergeCell ref="A2062:A2063"/>
    <mergeCell ref="B2062:B2063"/>
    <mergeCell ref="D1810:E1810"/>
    <mergeCell ref="A1335:A1337"/>
    <mergeCell ref="B1049:E1049"/>
    <mergeCell ref="D1989:E1989"/>
    <mergeCell ref="D1990:E1990"/>
    <mergeCell ref="B1056:E1056"/>
    <mergeCell ref="B1147:E1147"/>
    <mergeCell ref="B1234:E1234"/>
    <mergeCell ref="B1244:E1244"/>
    <mergeCell ref="A1425:A1427"/>
    <mergeCell ref="B1504:E1504"/>
    <mergeCell ref="B1514:E1514"/>
    <mergeCell ref="A1515:A1517"/>
    <mergeCell ref="A1245:A1247"/>
    <mergeCell ref="A1836:A1837"/>
    <mergeCell ref="A1830:E1830"/>
    <mergeCell ref="B1882:B1883"/>
    <mergeCell ref="A1882:A1883"/>
    <mergeCell ref="A1057:A1059"/>
    <mergeCell ref="B1414:E1414"/>
    <mergeCell ref="B1324:E1324"/>
    <mergeCell ref="B1884:B1885"/>
    <mergeCell ref="A2543:A2544"/>
    <mergeCell ref="A2567:A2568"/>
    <mergeCell ref="A2575:A2576"/>
    <mergeCell ref="A2064:A2065"/>
    <mergeCell ref="B2064:B2065"/>
    <mergeCell ref="A2066:A2067"/>
    <mergeCell ref="B2066:B2067"/>
    <mergeCell ref="D2169:E2169"/>
    <mergeCell ref="D2170:E2170"/>
    <mergeCell ref="D2079:E2079"/>
    <mergeCell ref="D2080:E2080"/>
    <mergeCell ref="A2100:E2100"/>
    <mergeCell ref="A2106:A2107"/>
    <mergeCell ref="D2430:E2430"/>
    <mergeCell ref="D2431:E2431"/>
    <mergeCell ref="A2451:E2451"/>
    <mergeCell ref="A2457:A2458"/>
    <mergeCell ref="A2481:A2482"/>
    <mergeCell ref="A2489:A2490"/>
    <mergeCell ref="D2516:E2516"/>
    <mergeCell ref="D2517:E2517"/>
    <mergeCell ref="A2537:E2537"/>
    <mergeCell ref="D2716:E2716"/>
    <mergeCell ref="D2717:E2717"/>
    <mergeCell ref="A2737:E2737"/>
    <mergeCell ref="A2743:A2744"/>
    <mergeCell ref="A2779:A2780"/>
    <mergeCell ref="A2787:A2788"/>
    <mergeCell ref="D2618:E2618"/>
    <mergeCell ref="D2619:E2619"/>
    <mergeCell ref="A2639:E2639"/>
    <mergeCell ref="A2645:A2646"/>
    <mergeCell ref="A2669:A2670"/>
    <mergeCell ref="A2677:A2678"/>
  </mergeCells>
  <conditionalFormatting sqref="E1835 E20 E111 E202 E293 E384 E475 E566 E657 E748 E839 E930 E1021 E1112 E1204:E1205 E1294:E1295 E1384:E1385 E1474:E1475 E1564:E1565 E1654:E1655 E1741:E1742 E1925 E2015 E2105 E2195">
    <cfRule type="containsErrors" dxfId="6" priority="44" stopIfTrue="1">
      <formula>ISERROR(E20)</formula>
    </cfRule>
  </conditionalFormatting>
  <conditionalFormatting sqref="E2282">
    <cfRule type="containsErrors" dxfId="5" priority="19" stopIfTrue="1">
      <formula>ISERROR(E2282)</formula>
    </cfRule>
  </conditionalFormatting>
  <conditionalFormatting sqref="E2369">
    <cfRule type="containsErrors" dxfId="4" priority="18" stopIfTrue="1">
      <formula>ISERROR(E2369)</formula>
    </cfRule>
  </conditionalFormatting>
  <conditionalFormatting sqref="E2456">
    <cfRule type="containsErrors" dxfId="3" priority="17" stopIfTrue="1">
      <formula>ISERROR(E2456)</formula>
    </cfRule>
  </conditionalFormatting>
  <conditionalFormatting sqref="E2542">
    <cfRule type="containsErrors" dxfId="2" priority="16" stopIfTrue="1">
      <formula>ISERROR(E2542)</formula>
    </cfRule>
  </conditionalFormatting>
  <conditionalFormatting sqref="E2644">
    <cfRule type="containsErrors" dxfId="1" priority="15" stopIfTrue="1">
      <formula>ISERROR(E2644)</formula>
    </cfRule>
  </conditionalFormatting>
  <conditionalFormatting sqref="E2742">
    <cfRule type="containsErrors" dxfId="0" priority="14" stopIfTrue="1">
      <formula>ISERROR(E2742)</formula>
    </cfRule>
  </conditionalFormatting>
  <hyperlinks>
    <hyperlink ref="A6" r:id="rId1"/>
    <hyperlink ref="A97" r:id="rId2"/>
    <hyperlink ref="A188" r:id="rId3"/>
    <hyperlink ref="A279" r:id="rId4"/>
    <hyperlink ref="A370" r:id="rId5"/>
    <hyperlink ref="A461" r:id="rId6"/>
    <hyperlink ref="A552" r:id="rId7"/>
    <hyperlink ref="A643" r:id="rId8"/>
    <hyperlink ref="A734" r:id="rId9"/>
    <hyperlink ref="A825" r:id="rId10"/>
    <hyperlink ref="A916" r:id="rId11"/>
    <hyperlink ref="A1007" r:id="rId12"/>
    <hyperlink ref="A1098" r:id="rId13"/>
    <hyperlink ref="A1189" r:id="rId14"/>
    <hyperlink ref="A1279" r:id="rId15"/>
    <hyperlink ref="A1369" r:id="rId16"/>
    <hyperlink ref="A1459" r:id="rId17"/>
    <hyperlink ref="A1549" r:id="rId18"/>
    <hyperlink ref="A1639" r:id="rId19"/>
    <hyperlink ref="A1640" r:id="rId20"/>
    <hyperlink ref="A1726" r:id="rId21"/>
    <hyperlink ref="A1727" r:id="rId22"/>
  </hyperlinks>
  <pageMargins left="0.78740157480314998" right="0.78740157480314998" top="1.1811023622047201" bottom="0.59055118110236204" header="0.31496062992126" footer="0.31496062992126"/>
  <pageSetup paperSize="9" scale="84" fitToHeight="0" orientation="landscape" horizontalDpi="4294967293" verticalDpi="4294967293" r:id="rId23"/>
  <legacy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71"/>
  <sheetViews>
    <sheetView showGridLines="0" topLeftCell="B1129" zoomScaleNormal="100" workbookViewId="0">
      <selection activeCell="D1150" sqref="D1150"/>
    </sheetView>
  </sheetViews>
  <sheetFormatPr defaultRowHeight="15" x14ac:dyDescent="0.25"/>
  <cols>
    <col min="1" max="1" width="7.42578125" customWidth="1"/>
    <col min="2" max="2" width="57.28515625" customWidth="1"/>
    <col min="3" max="3" width="12.140625" customWidth="1"/>
    <col min="4" max="4" width="34.85546875" customWidth="1"/>
    <col min="7" max="7" width="12.42578125" customWidth="1"/>
    <col min="8" max="8" width="57.42578125" customWidth="1"/>
    <col min="10" max="10" width="34.42578125" customWidth="1"/>
    <col min="12" max="13" width="12.28515625" customWidth="1"/>
  </cols>
  <sheetData>
    <row r="1" spans="1:9" ht="7.5" hidden="1" customHeight="1" x14ac:dyDescent="0.25"/>
    <row r="2" spans="1:9" hidden="1" x14ac:dyDescent="0.25">
      <c r="A2" s="132" t="s">
        <v>0</v>
      </c>
      <c r="B2" s="132"/>
      <c r="E2" s="132" t="s">
        <v>186</v>
      </c>
      <c r="I2" s="3" t="s">
        <v>107</v>
      </c>
    </row>
    <row r="3" spans="1:9" hidden="1" x14ac:dyDescent="0.25">
      <c r="A3" s="132" t="s">
        <v>1</v>
      </c>
      <c r="B3" s="132"/>
      <c r="D3" s="132" t="s">
        <v>178</v>
      </c>
    </row>
    <row r="4" spans="1:9" hidden="1" x14ac:dyDescent="0.25">
      <c r="A4" s="132" t="s">
        <v>2</v>
      </c>
      <c r="B4" s="132"/>
      <c r="D4" s="132" t="s">
        <v>167</v>
      </c>
    </row>
    <row r="5" spans="1:9" hidden="1" x14ac:dyDescent="0.25">
      <c r="A5" s="132" t="s">
        <v>3</v>
      </c>
      <c r="B5" s="132"/>
      <c r="D5" s="132" t="s">
        <v>168</v>
      </c>
    </row>
    <row r="6" spans="1:9" hidden="1" x14ac:dyDescent="0.25">
      <c r="A6" s="132" t="s">
        <v>4</v>
      </c>
      <c r="B6" s="132"/>
      <c r="D6" s="132" t="s">
        <v>169</v>
      </c>
    </row>
    <row r="7" spans="1:9" hidden="1" x14ac:dyDescent="0.25">
      <c r="A7" s="132" t="s">
        <v>5</v>
      </c>
      <c r="B7" s="132"/>
      <c r="D7" s="132" t="s">
        <v>170</v>
      </c>
    </row>
    <row r="8" spans="1:9" hidden="1" x14ac:dyDescent="0.25"/>
    <row r="9" spans="1:9" ht="15.75" hidden="1" x14ac:dyDescent="0.25">
      <c r="A9" s="141"/>
      <c r="B9" s="141" t="s">
        <v>185</v>
      </c>
      <c r="C9" s="141"/>
      <c r="D9" s="141"/>
      <c r="E9" s="141"/>
      <c r="F9" s="141"/>
      <c r="G9" s="141"/>
      <c r="H9" s="141"/>
      <c r="I9" s="141"/>
    </row>
    <row r="10" spans="1:9" hidden="1" x14ac:dyDescent="0.25">
      <c r="C10" s="148">
        <v>41479</v>
      </c>
      <c r="D10" s="142"/>
    </row>
    <row r="11" spans="1:9" hidden="1" x14ac:dyDescent="0.25">
      <c r="C11" s="147" t="s">
        <v>191</v>
      </c>
    </row>
    <row r="12" spans="1:9" hidden="1" x14ac:dyDescent="0.25">
      <c r="A12" s="2" t="s">
        <v>6</v>
      </c>
      <c r="B12" s="2"/>
    </row>
    <row r="13" spans="1:9" hidden="1" x14ac:dyDescent="0.25">
      <c r="A13" s="1" t="s">
        <v>195</v>
      </c>
      <c r="B13" s="1"/>
    </row>
    <row r="14" spans="1:9" hidden="1" x14ac:dyDescent="0.25">
      <c r="A14" s="1" t="s">
        <v>7</v>
      </c>
      <c r="B14" s="1"/>
    </row>
    <row r="15" spans="1:9" hidden="1" x14ac:dyDescent="0.25"/>
    <row r="16" spans="1:9" hidden="1" x14ac:dyDescent="0.25">
      <c r="A16" s="25" t="s">
        <v>8</v>
      </c>
      <c r="B16" s="25" t="s">
        <v>9</v>
      </c>
      <c r="C16" s="29" t="s">
        <v>10</v>
      </c>
      <c r="D16" s="29" t="s">
        <v>11</v>
      </c>
      <c r="E16" s="25" t="s">
        <v>12</v>
      </c>
    </row>
    <row r="17" spans="1:12" hidden="1" x14ac:dyDescent="0.25">
      <c r="A17" s="24">
        <v>1</v>
      </c>
      <c r="B17" s="24">
        <v>2</v>
      </c>
      <c r="C17" s="55">
        <v>3</v>
      </c>
      <c r="D17" s="55">
        <v>4</v>
      </c>
      <c r="E17" s="24">
        <v>5</v>
      </c>
    </row>
    <row r="18" spans="1:12" hidden="1" x14ac:dyDescent="0.25">
      <c r="A18" s="66" t="s">
        <v>13</v>
      </c>
      <c r="B18" s="8" t="s">
        <v>108</v>
      </c>
    </row>
    <row r="19" spans="1:12" hidden="1" x14ac:dyDescent="0.25">
      <c r="A19" s="67" t="s">
        <v>15</v>
      </c>
      <c r="B19" s="24" t="s">
        <v>109</v>
      </c>
      <c r="C19" s="57" t="s">
        <v>110</v>
      </c>
      <c r="D19" s="143" t="s">
        <v>111</v>
      </c>
      <c r="E19" s="62">
        <v>0.97</v>
      </c>
    </row>
    <row r="20" spans="1:12" hidden="1" x14ac:dyDescent="0.25">
      <c r="A20" s="66" t="s">
        <v>21</v>
      </c>
      <c r="B20" s="65" t="s">
        <v>112</v>
      </c>
      <c r="C20" s="61" t="s">
        <v>110</v>
      </c>
      <c r="D20" s="143" t="s">
        <v>187</v>
      </c>
      <c r="E20" s="231">
        <v>21.68</v>
      </c>
      <c r="K20" s="909"/>
      <c r="L20" s="909"/>
    </row>
    <row r="21" spans="1:12" hidden="1" x14ac:dyDescent="0.25">
      <c r="A21" s="68" t="s">
        <v>60</v>
      </c>
      <c r="B21" s="60" t="s">
        <v>113</v>
      </c>
      <c r="C21" s="11" t="s">
        <v>59</v>
      </c>
      <c r="D21" s="59"/>
      <c r="E21" s="231">
        <f>'Silumos kaina'!E59</f>
        <v>28.392599151430073</v>
      </c>
    </row>
    <row r="22" spans="1:12" hidden="1" x14ac:dyDescent="0.25">
      <c r="A22" s="69" t="s">
        <v>72</v>
      </c>
      <c r="B22" s="60" t="s">
        <v>114</v>
      </c>
      <c r="C22" s="63" t="s">
        <v>110</v>
      </c>
      <c r="D22" s="145" t="s">
        <v>188</v>
      </c>
      <c r="E22" s="62">
        <v>6.58</v>
      </c>
    </row>
    <row r="23" spans="1:12" hidden="1" x14ac:dyDescent="0.25">
      <c r="A23" s="74" t="s">
        <v>115</v>
      </c>
      <c r="B23" s="60" t="s">
        <v>116</v>
      </c>
      <c r="C23" s="64" t="s">
        <v>110</v>
      </c>
      <c r="D23" s="57" t="s">
        <v>188</v>
      </c>
      <c r="E23" s="144">
        <v>11.25</v>
      </c>
    </row>
    <row r="24" spans="1:12" hidden="1" x14ac:dyDescent="0.25">
      <c r="A24" s="75" t="s">
        <v>84</v>
      </c>
      <c r="B24" s="72" t="s">
        <v>117</v>
      </c>
      <c r="C24" s="64" t="s">
        <v>110</v>
      </c>
      <c r="D24" s="143" t="s">
        <v>121</v>
      </c>
      <c r="E24" s="233">
        <f>E19+E20</f>
        <v>22.65</v>
      </c>
    </row>
    <row r="25" spans="1:12" hidden="1" x14ac:dyDescent="0.25">
      <c r="A25" s="75" t="s">
        <v>85</v>
      </c>
      <c r="B25" s="73" t="s">
        <v>118</v>
      </c>
      <c r="C25" s="64" t="s">
        <v>110</v>
      </c>
      <c r="D25" s="70"/>
      <c r="E25" s="231">
        <f>E24*1.09</f>
        <v>24.688500000000001</v>
      </c>
    </row>
    <row r="26" spans="1:12" hidden="1" x14ac:dyDescent="0.25">
      <c r="A26" s="75" t="s">
        <v>87</v>
      </c>
      <c r="B26" s="73" t="s">
        <v>119</v>
      </c>
      <c r="C26" s="64" t="s">
        <v>110</v>
      </c>
      <c r="D26" s="58"/>
      <c r="E26" s="232">
        <f>E21/100*51+6.58+0.01</f>
        <v>21.07022556722934</v>
      </c>
    </row>
    <row r="27" spans="1:12" hidden="1" x14ac:dyDescent="0.25">
      <c r="A27" s="75" t="s">
        <v>89</v>
      </c>
      <c r="B27" s="71" t="s">
        <v>120</v>
      </c>
      <c r="C27" s="76" t="s">
        <v>95</v>
      </c>
      <c r="D27" s="58"/>
      <c r="E27" s="62"/>
    </row>
    <row r="28" spans="1:12" hidden="1" x14ac:dyDescent="0.25"/>
    <row r="29" spans="1:12" hidden="1" x14ac:dyDescent="0.25"/>
    <row r="30" spans="1:12" hidden="1" x14ac:dyDescent="0.25">
      <c r="B30" t="s">
        <v>189</v>
      </c>
      <c r="C30" t="s">
        <v>193</v>
      </c>
      <c r="D30" s="146" t="s">
        <v>190</v>
      </c>
    </row>
    <row r="31" spans="1:12" hidden="1" x14ac:dyDescent="0.25">
      <c r="C31" s="153" t="s">
        <v>194</v>
      </c>
    </row>
    <row r="32" spans="1:12" hidden="1" x14ac:dyDescent="0.25"/>
    <row r="33" spans="1:5" hidden="1" x14ac:dyDescent="0.25"/>
    <row r="34" spans="1:5" hidden="1" x14ac:dyDescent="0.25">
      <c r="A34" s="132" t="s">
        <v>0</v>
      </c>
      <c r="B34" s="132"/>
      <c r="E34" s="132" t="s">
        <v>186</v>
      </c>
    </row>
    <row r="35" spans="1:5" hidden="1" x14ac:dyDescent="0.25">
      <c r="A35" s="132" t="s">
        <v>1</v>
      </c>
      <c r="B35" s="132"/>
      <c r="D35" s="132" t="s">
        <v>178</v>
      </c>
    </row>
    <row r="36" spans="1:5" hidden="1" x14ac:dyDescent="0.25">
      <c r="A36" s="132" t="s">
        <v>2</v>
      </c>
      <c r="B36" s="132"/>
      <c r="D36" s="132" t="s">
        <v>167</v>
      </c>
    </row>
    <row r="37" spans="1:5" hidden="1" x14ac:dyDescent="0.25">
      <c r="A37" s="132" t="s">
        <v>3</v>
      </c>
      <c r="B37" s="132"/>
      <c r="D37" s="132" t="s">
        <v>168</v>
      </c>
    </row>
    <row r="38" spans="1:5" hidden="1" x14ac:dyDescent="0.25">
      <c r="A38" s="132" t="s">
        <v>4</v>
      </c>
      <c r="B38" s="132"/>
      <c r="D38" s="132" t="s">
        <v>169</v>
      </c>
    </row>
    <row r="39" spans="1:5" hidden="1" x14ac:dyDescent="0.25">
      <c r="A39" s="132" t="s">
        <v>5</v>
      </c>
      <c r="B39" s="132"/>
      <c r="D39" s="132" t="s">
        <v>170</v>
      </c>
    </row>
    <row r="40" spans="1:5" hidden="1" x14ac:dyDescent="0.25"/>
    <row r="41" spans="1:5" ht="15.75" hidden="1" x14ac:dyDescent="0.25">
      <c r="A41" s="141"/>
      <c r="B41" s="141" t="s">
        <v>231</v>
      </c>
      <c r="C41" s="141"/>
      <c r="D41" s="141"/>
      <c r="E41" s="141"/>
    </row>
    <row r="42" spans="1:5" hidden="1" x14ac:dyDescent="0.25">
      <c r="C42" s="148">
        <v>41506</v>
      </c>
      <c r="D42" s="142"/>
    </row>
    <row r="43" spans="1:5" hidden="1" x14ac:dyDescent="0.25">
      <c r="C43" s="147" t="s">
        <v>191</v>
      </c>
    </row>
    <row r="44" spans="1:5" hidden="1" x14ac:dyDescent="0.25">
      <c r="A44" s="2" t="s">
        <v>6</v>
      </c>
      <c r="B44" s="2"/>
    </row>
    <row r="45" spans="1:5" hidden="1" x14ac:dyDescent="0.25">
      <c r="A45" s="1" t="s">
        <v>195</v>
      </c>
      <c r="B45" s="1"/>
    </row>
    <row r="46" spans="1:5" hidden="1" x14ac:dyDescent="0.25">
      <c r="A46" s="1" t="s">
        <v>7</v>
      </c>
      <c r="B46" s="1"/>
    </row>
    <row r="47" spans="1:5" hidden="1" x14ac:dyDescent="0.25"/>
    <row r="48" spans="1:5" hidden="1" x14ac:dyDescent="0.25">
      <c r="A48" s="25" t="s">
        <v>8</v>
      </c>
      <c r="B48" s="25" t="s">
        <v>9</v>
      </c>
      <c r="C48" s="29" t="s">
        <v>10</v>
      </c>
      <c r="D48" s="29" t="s">
        <v>11</v>
      </c>
      <c r="E48" s="25" t="s">
        <v>12</v>
      </c>
    </row>
    <row r="49" spans="1:5" hidden="1" x14ac:dyDescent="0.25">
      <c r="A49" s="24">
        <v>1</v>
      </c>
      <c r="B49" s="24">
        <v>2</v>
      </c>
      <c r="C49" s="55">
        <v>3</v>
      </c>
      <c r="D49" s="55">
        <v>4</v>
      </c>
      <c r="E49" s="24">
        <v>5</v>
      </c>
    </row>
    <row r="50" spans="1:5" hidden="1" x14ac:dyDescent="0.25">
      <c r="A50" s="66" t="s">
        <v>13</v>
      </c>
      <c r="B50" s="8" t="s">
        <v>108</v>
      </c>
    </row>
    <row r="51" spans="1:5" hidden="1" x14ac:dyDescent="0.25">
      <c r="A51" s="67" t="s">
        <v>15</v>
      </c>
      <c r="B51" s="24" t="s">
        <v>109</v>
      </c>
      <c r="C51" s="57" t="s">
        <v>110</v>
      </c>
      <c r="D51" s="143" t="s">
        <v>111</v>
      </c>
      <c r="E51" s="62">
        <v>0.97</v>
      </c>
    </row>
    <row r="52" spans="1:5" hidden="1" x14ac:dyDescent="0.25">
      <c r="A52" s="66" t="s">
        <v>21</v>
      </c>
      <c r="B52" s="65" t="s">
        <v>112</v>
      </c>
      <c r="C52" s="61" t="s">
        <v>110</v>
      </c>
      <c r="D52" s="143" t="s">
        <v>187</v>
      </c>
      <c r="E52" s="231">
        <f>'Silumos kaina'!E150/100*52.25+6.58*1.025+11.21*0.01</f>
        <v>21.662803623523725</v>
      </c>
    </row>
    <row r="53" spans="1:5" hidden="1" x14ac:dyDescent="0.25">
      <c r="A53" s="68" t="s">
        <v>60</v>
      </c>
      <c r="B53" s="60" t="s">
        <v>113</v>
      </c>
      <c r="C53" s="11" t="s">
        <v>59</v>
      </c>
      <c r="D53" s="59"/>
      <c r="E53" s="231">
        <f>'Silumos kaina'!E91</f>
        <v>0</v>
      </c>
    </row>
    <row r="54" spans="1:5" hidden="1" x14ac:dyDescent="0.25">
      <c r="A54" s="69" t="s">
        <v>72</v>
      </c>
      <c r="B54" s="60" t="s">
        <v>114</v>
      </c>
      <c r="C54" s="63" t="s">
        <v>110</v>
      </c>
      <c r="D54" s="145" t="s">
        <v>188</v>
      </c>
      <c r="E54" s="62">
        <v>6.58</v>
      </c>
    </row>
    <row r="55" spans="1:5" hidden="1" x14ac:dyDescent="0.25">
      <c r="A55" s="74" t="s">
        <v>115</v>
      </c>
      <c r="B55" s="60" t="s">
        <v>116</v>
      </c>
      <c r="C55" s="64" t="s">
        <v>110</v>
      </c>
      <c r="D55" s="57" t="s">
        <v>188</v>
      </c>
      <c r="E55" s="144">
        <v>11.25</v>
      </c>
    </row>
    <row r="56" spans="1:5" hidden="1" x14ac:dyDescent="0.25">
      <c r="A56" s="75" t="s">
        <v>84</v>
      </c>
      <c r="B56" s="72" t="s">
        <v>117</v>
      </c>
      <c r="C56" s="64" t="s">
        <v>110</v>
      </c>
      <c r="D56" s="143" t="s">
        <v>121</v>
      </c>
      <c r="E56" s="233">
        <f>E51+E52</f>
        <v>22.632803623523724</v>
      </c>
    </row>
    <row r="57" spans="1:5" hidden="1" x14ac:dyDescent="0.25">
      <c r="A57" s="75" t="s">
        <v>85</v>
      </c>
      <c r="B57" s="73" t="s">
        <v>118</v>
      </c>
      <c r="C57" s="64" t="s">
        <v>110</v>
      </c>
      <c r="D57" s="70"/>
      <c r="E57" s="231">
        <f>E56*1.09</f>
        <v>24.669755949640862</v>
      </c>
    </row>
    <row r="58" spans="1:5" hidden="1" x14ac:dyDescent="0.25">
      <c r="A58" s="75" t="s">
        <v>87</v>
      </c>
      <c r="B58" s="73" t="s">
        <v>119</v>
      </c>
      <c r="C58" s="64" t="s">
        <v>110</v>
      </c>
      <c r="D58" s="58"/>
      <c r="E58" s="232">
        <f>'Silumos kaina'!E152/100*51+6.58+0.01</f>
        <v>21.041988225831769</v>
      </c>
    </row>
    <row r="59" spans="1:5" hidden="1" x14ac:dyDescent="0.25">
      <c r="A59" s="75" t="s">
        <v>89</v>
      </c>
      <c r="B59" s="71" t="s">
        <v>120</v>
      </c>
      <c r="C59" s="76" t="s">
        <v>95</v>
      </c>
      <c r="D59" s="58"/>
      <c r="E59" s="231">
        <f>(E56/E24)*100-100</f>
        <v>-7.5922191948222917E-2</v>
      </c>
    </row>
    <row r="60" spans="1:5" hidden="1" x14ac:dyDescent="0.25"/>
    <row r="61" spans="1:5" hidden="1" x14ac:dyDescent="0.25"/>
    <row r="62" spans="1:5" hidden="1" x14ac:dyDescent="0.25">
      <c r="B62" t="s">
        <v>189</v>
      </c>
      <c r="C62" t="s">
        <v>193</v>
      </c>
      <c r="D62" s="146" t="s">
        <v>190</v>
      </c>
    </row>
    <row r="63" spans="1:5" hidden="1" x14ac:dyDescent="0.25">
      <c r="C63" s="153" t="s">
        <v>194</v>
      </c>
    </row>
    <row r="64" spans="1:5" hidden="1" x14ac:dyDescent="0.25"/>
    <row r="65" spans="1:5" hidden="1" x14ac:dyDescent="0.25"/>
    <row r="66" spans="1:5" hidden="1" x14ac:dyDescent="0.25">
      <c r="A66" s="132" t="s">
        <v>0</v>
      </c>
      <c r="B66" s="132"/>
      <c r="E66" s="132" t="s">
        <v>186</v>
      </c>
    </row>
    <row r="67" spans="1:5" hidden="1" x14ac:dyDescent="0.25">
      <c r="A67" s="132" t="s">
        <v>1</v>
      </c>
      <c r="B67" s="132"/>
      <c r="D67" s="132" t="s">
        <v>178</v>
      </c>
    </row>
    <row r="68" spans="1:5" hidden="1" x14ac:dyDescent="0.25">
      <c r="A68" s="132" t="s">
        <v>2</v>
      </c>
      <c r="B68" s="132"/>
      <c r="D68" s="132" t="s">
        <v>167</v>
      </c>
    </row>
    <row r="69" spans="1:5" hidden="1" x14ac:dyDescent="0.25">
      <c r="A69" s="132" t="s">
        <v>3</v>
      </c>
      <c r="B69" s="132"/>
      <c r="D69" s="132" t="s">
        <v>168</v>
      </c>
    </row>
    <row r="70" spans="1:5" hidden="1" x14ac:dyDescent="0.25">
      <c r="A70" s="132" t="s">
        <v>4</v>
      </c>
      <c r="B70" s="132"/>
      <c r="D70" s="132" t="s">
        <v>169</v>
      </c>
    </row>
    <row r="71" spans="1:5" hidden="1" x14ac:dyDescent="0.25">
      <c r="A71" s="132" t="s">
        <v>5</v>
      </c>
      <c r="B71" s="132"/>
      <c r="D71" s="132" t="s">
        <v>170</v>
      </c>
    </row>
    <row r="72" spans="1:5" hidden="1" x14ac:dyDescent="0.25"/>
    <row r="73" spans="1:5" ht="15.75" hidden="1" x14ac:dyDescent="0.25">
      <c r="A73" s="141"/>
      <c r="B73" s="141" t="s">
        <v>232</v>
      </c>
      <c r="C73" s="141"/>
      <c r="D73" s="141"/>
      <c r="E73" s="141"/>
    </row>
    <row r="74" spans="1:5" hidden="1" x14ac:dyDescent="0.25">
      <c r="C74" s="148">
        <v>41540</v>
      </c>
      <c r="D74" s="142"/>
    </row>
    <row r="75" spans="1:5" hidden="1" x14ac:dyDescent="0.25">
      <c r="C75" s="147" t="s">
        <v>191</v>
      </c>
    </row>
    <row r="76" spans="1:5" hidden="1" x14ac:dyDescent="0.25">
      <c r="A76" s="2" t="s">
        <v>6</v>
      </c>
      <c r="B76" s="2"/>
    </row>
    <row r="77" spans="1:5" hidden="1" x14ac:dyDescent="0.25">
      <c r="A77" s="1" t="s">
        <v>195</v>
      </c>
      <c r="B77" s="1"/>
    </row>
    <row r="78" spans="1:5" hidden="1" x14ac:dyDescent="0.25">
      <c r="A78" s="1" t="s">
        <v>7</v>
      </c>
      <c r="B78" s="1"/>
    </row>
    <row r="79" spans="1:5" hidden="1" x14ac:dyDescent="0.25">
      <c r="A79" t="s">
        <v>238</v>
      </c>
    </row>
    <row r="80" spans="1:5" hidden="1" x14ac:dyDescent="0.25">
      <c r="A80" s="25" t="s">
        <v>8</v>
      </c>
      <c r="B80" s="25" t="s">
        <v>9</v>
      </c>
      <c r="C80" s="29" t="s">
        <v>10</v>
      </c>
      <c r="D80" s="29" t="s">
        <v>11</v>
      </c>
      <c r="E80" s="25" t="s">
        <v>12</v>
      </c>
    </row>
    <row r="81" spans="1:5" hidden="1" x14ac:dyDescent="0.25">
      <c r="A81" s="24">
        <v>1</v>
      </c>
      <c r="B81" s="24">
        <v>2</v>
      </c>
      <c r="C81" s="55">
        <v>3</v>
      </c>
      <c r="D81" s="55">
        <v>4</v>
      </c>
      <c r="E81" s="24">
        <v>5</v>
      </c>
    </row>
    <row r="82" spans="1:5" hidden="1" x14ac:dyDescent="0.25">
      <c r="A82" s="66" t="s">
        <v>13</v>
      </c>
      <c r="B82" s="8" t="s">
        <v>108</v>
      </c>
    </row>
    <row r="83" spans="1:5" hidden="1" x14ac:dyDescent="0.25">
      <c r="A83" s="67" t="s">
        <v>15</v>
      </c>
      <c r="B83" s="24" t="s">
        <v>109</v>
      </c>
      <c r="C83" s="57" t="s">
        <v>110</v>
      </c>
      <c r="D83" s="143" t="s">
        <v>111</v>
      </c>
      <c r="E83" s="62">
        <v>0.97</v>
      </c>
    </row>
    <row r="84" spans="1:5" hidden="1" x14ac:dyDescent="0.25">
      <c r="A84" s="66" t="s">
        <v>21</v>
      </c>
      <c r="B84" s="65" t="s">
        <v>112</v>
      </c>
      <c r="C84" s="61" t="s">
        <v>110</v>
      </c>
      <c r="D84" s="143" t="s">
        <v>187</v>
      </c>
      <c r="E84" s="231">
        <v>21.58</v>
      </c>
    </row>
    <row r="85" spans="1:5" hidden="1" x14ac:dyDescent="0.25">
      <c r="A85" s="68" t="s">
        <v>60</v>
      </c>
      <c r="B85" s="60" t="s">
        <v>113</v>
      </c>
      <c r="C85" s="11" t="s">
        <v>59</v>
      </c>
      <c r="D85" s="59"/>
      <c r="E85" s="231">
        <f>'Silumos kaina'!E239</f>
        <v>28.203638206268135</v>
      </c>
    </row>
    <row r="86" spans="1:5" hidden="1" x14ac:dyDescent="0.25">
      <c r="A86" s="69" t="s">
        <v>72</v>
      </c>
      <c r="B86" s="60" t="s">
        <v>114</v>
      </c>
      <c r="C86" s="63" t="s">
        <v>110</v>
      </c>
      <c r="D86" s="145" t="s">
        <v>188</v>
      </c>
      <c r="E86" s="62">
        <v>6.58</v>
      </c>
    </row>
    <row r="87" spans="1:5" hidden="1" x14ac:dyDescent="0.25">
      <c r="A87" s="74" t="s">
        <v>115</v>
      </c>
      <c r="B87" s="60" t="s">
        <v>116</v>
      </c>
      <c r="C87" s="64" t="s">
        <v>110</v>
      </c>
      <c r="D87" s="57" t="s">
        <v>188</v>
      </c>
      <c r="E87" s="144">
        <v>11.21</v>
      </c>
    </row>
    <row r="88" spans="1:5" hidden="1" x14ac:dyDescent="0.25">
      <c r="A88" s="75" t="s">
        <v>84</v>
      </c>
      <c r="B88" s="72" t="s">
        <v>117</v>
      </c>
      <c r="C88" s="64" t="s">
        <v>110</v>
      </c>
      <c r="D88" s="143" t="s">
        <v>121</v>
      </c>
      <c r="E88" s="233">
        <f>E83+E84</f>
        <v>22.549999999999997</v>
      </c>
    </row>
    <row r="89" spans="1:5" hidden="1" x14ac:dyDescent="0.25">
      <c r="A89" s="75" t="s">
        <v>85</v>
      </c>
      <c r="B89" s="73" t="s">
        <v>118</v>
      </c>
      <c r="C89" s="64" t="s">
        <v>110</v>
      </c>
      <c r="D89" s="70"/>
      <c r="E89" s="231">
        <f>E88*1.09</f>
        <v>24.579499999999999</v>
      </c>
    </row>
    <row r="90" spans="1:5" hidden="1" x14ac:dyDescent="0.25">
      <c r="A90" s="75" t="s">
        <v>87</v>
      </c>
      <c r="B90" s="73" t="s">
        <v>119</v>
      </c>
      <c r="C90" s="64" t="s">
        <v>110</v>
      </c>
      <c r="D90" s="58"/>
      <c r="E90" s="232">
        <f>E56</f>
        <v>22.632803623523724</v>
      </c>
    </row>
    <row r="91" spans="1:5" hidden="1" x14ac:dyDescent="0.25">
      <c r="A91" s="75" t="s">
        <v>89</v>
      </c>
      <c r="B91" s="71" t="s">
        <v>120</v>
      </c>
      <c r="C91" s="76" t="s">
        <v>95</v>
      </c>
      <c r="D91" s="58"/>
      <c r="E91" s="231">
        <f>(E88/E56)*100-100</f>
        <v>-0.36585667821402978</v>
      </c>
    </row>
    <row r="92" spans="1:5" hidden="1" x14ac:dyDescent="0.25"/>
    <row r="93" spans="1:5" hidden="1" x14ac:dyDescent="0.25"/>
    <row r="94" spans="1:5" hidden="1" x14ac:dyDescent="0.25">
      <c r="B94" t="s">
        <v>241</v>
      </c>
      <c r="D94" s="184" t="s">
        <v>236</v>
      </c>
    </row>
    <row r="95" spans="1:5" hidden="1" x14ac:dyDescent="0.25">
      <c r="C95" s="153" t="s">
        <v>194</v>
      </c>
    </row>
    <row r="96" spans="1:5" hidden="1" x14ac:dyDescent="0.25"/>
    <row r="97" spans="1:5" hidden="1" x14ac:dyDescent="0.25"/>
    <row r="98" spans="1:5" hidden="1" x14ac:dyDescent="0.25">
      <c r="A98" s="132" t="s">
        <v>0</v>
      </c>
      <c r="B98" s="132"/>
      <c r="E98" s="132" t="s">
        <v>186</v>
      </c>
    </row>
    <row r="99" spans="1:5" hidden="1" x14ac:dyDescent="0.25">
      <c r="A99" s="132" t="s">
        <v>1</v>
      </c>
      <c r="B99" s="132"/>
      <c r="D99" s="132" t="s">
        <v>178</v>
      </c>
    </row>
    <row r="100" spans="1:5" hidden="1" x14ac:dyDescent="0.25">
      <c r="A100" s="132" t="s">
        <v>2</v>
      </c>
      <c r="B100" s="132"/>
      <c r="D100" s="132" t="s">
        <v>167</v>
      </c>
    </row>
    <row r="101" spans="1:5" hidden="1" x14ac:dyDescent="0.25">
      <c r="A101" s="132" t="s">
        <v>3</v>
      </c>
      <c r="B101" s="132"/>
      <c r="D101" s="132" t="s">
        <v>168</v>
      </c>
    </row>
    <row r="102" spans="1:5" hidden="1" x14ac:dyDescent="0.25">
      <c r="A102" s="132" t="s">
        <v>4</v>
      </c>
      <c r="B102" s="132"/>
      <c r="D102" s="132" t="s">
        <v>169</v>
      </c>
    </row>
    <row r="103" spans="1:5" hidden="1" x14ac:dyDescent="0.25">
      <c r="A103" s="132" t="s">
        <v>5</v>
      </c>
      <c r="B103" s="132"/>
      <c r="D103" s="132" t="s">
        <v>170</v>
      </c>
    </row>
    <row r="104" spans="1:5" hidden="1" x14ac:dyDescent="0.25"/>
    <row r="105" spans="1:5" ht="15.75" hidden="1" x14ac:dyDescent="0.25">
      <c r="A105" s="141"/>
      <c r="B105" s="141" t="s">
        <v>242</v>
      </c>
      <c r="C105" s="141"/>
      <c r="D105" s="141"/>
      <c r="E105" s="141"/>
    </row>
    <row r="106" spans="1:5" hidden="1" x14ac:dyDescent="0.25">
      <c r="C106" s="148">
        <v>41568</v>
      </c>
      <c r="D106" s="142"/>
    </row>
    <row r="107" spans="1:5" hidden="1" x14ac:dyDescent="0.25">
      <c r="C107" s="147" t="s">
        <v>191</v>
      </c>
    </row>
    <row r="108" spans="1:5" hidden="1" x14ac:dyDescent="0.25">
      <c r="A108" s="2" t="s">
        <v>6</v>
      </c>
      <c r="B108" s="2"/>
    </row>
    <row r="109" spans="1:5" hidden="1" x14ac:dyDescent="0.25">
      <c r="A109" s="1" t="s">
        <v>195</v>
      </c>
      <c r="B109" s="1"/>
    </row>
    <row r="110" spans="1:5" hidden="1" x14ac:dyDescent="0.25">
      <c r="A110" s="1" t="s">
        <v>7</v>
      </c>
      <c r="B110" s="1"/>
    </row>
    <row r="111" spans="1:5" ht="15.75" hidden="1" thickBot="1" x14ac:dyDescent="0.3">
      <c r="A111" t="s">
        <v>238</v>
      </c>
    </row>
    <row r="112" spans="1:5" hidden="1" x14ac:dyDescent="0.25">
      <c r="A112" s="238" t="s">
        <v>8</v>
      </c>
      <c r="B112" s="239" t="s">
        <v>9</v>
      </c>
      <c r="C112" s="240" t="s">
        <v>10</v>
      </c>
      <c r="D112" s="240" t="s">
        <v>11</v>
      </c>
      <c r="E112" s="241" t="s">
        <v>12</v>
      </c>
    </row>
    <row r="113" spans="1:7" hidden="1" x14ac:dyDescent="0.25">
      <c r="A113" s="242">
        <v>1</v>
      </c>
      <c r="B113" s="24">
        <v>2</v>
      </c>
      <c r="C113" s="55">
        <v>3</v>
      </c>
      <c r="D113" s="55">
        <v>4</v>
      </c>
      <c r="E113" s="243">
        <v>5</v>
      </c>
    </row>
    <row r="114" spans="1:7" hidden="1" x14ac:dyDescent="0.25">
      <c r="A114" s="244" t="s">
        <v>13</v>
      </c>
      <c r="B114" s="245" t="s">
        <v>108</v>
      </c>
      <c r="C114" s="246"/>
      <c r="D114" s="246"/>
      <c r="E114" s="247"/>
    </row>
    <row r="115" spans="1:7" hidden="1" x14ac:dyDescent="0.25">
      <c r="A115" s="248" t="s">
        <v>15</v>
      </c>
      <c r="B115" s="24" t="s">
        <v>109</v>
      </c>
      <c r="C115" s="57" t="s">
        <v>110</v>
      </c>
      <c r="D115" s="143" t="s">
        <v>111</v>
      </c>
      <c r="E115" s="249">
        <v>0.97</v>
      </c>
    </row>
    <row r="116" spans="1:7" hidden="1" x14ac:dyDescent="0.25">
      <c r="A116" s="244" t="s">
        <v>21</v>
      </c>
      <c r="B116" s="65" t="s">
        <v>112</v>
      </c>
      <c r="C116" s="61" t="s">
        <v>110</v>
      </c>
      <c r="D116" s="143" t="s">
        <v>187</v>
      </c>
      <c r="E116" s="250">
        <v>21.49</v>
      </c>
    </row>
    <row r="117" spans="1:7" hidden="1" x14ac:dyDescent="0.25">
      <c r="A117" s="251" t="s">
        <v>60</v>
      </c>
      <c r="B117" s="60" t="s">
        <v>113</v>
      </c>
      <c r="C117" s="11" t="s">
        <v>59</v>
      </c>
      <c r="D117" s="59"/>
      <c r="E117" s="250">
        <f>'Silumos kaina'!E332</f>
        <v>28.012217209629029</v>
      </c>
    </row>
    <row r="118" spans="1:7" hidden="1" x14ac:dyDescent="0.25">
      <c r="A118" s="252" t="s">
        <v>72</v>
      </c>
      <c r="B118" s="60" t="s">
        <v>114</v>
      </c>
      <c r="C118" s="63" t="s">
        <v>110</v>
      </c>
      <c r="D118" s="253" t="s">
        <v>188</v>
      </c>
      <c r="E118" s="249">
        <v>6.58</v>
      </c>
    </row>
    <row r="119" spans="1:7" hidden="1" x14ac:dyDescent="0.25">
      <c r="A119" s="254" t="s">
        <v>115</v>
      </c>
      <c r="B119" s="60" t="s">
        <v>116</v>
      </c>
      <c r="C119" s="64" t="s">
        <v>110</v>
      </c>
      <c r="D119" s="57" t="s">
        <v>188</v>
      </c>
      <c r="E119" s="255">
        <v>11.21</v>
      </c>
    </row>
    <row r="120" spans="1:7" hidden="1" x14ac:dyDescent="0.25">
      <c r="A120" s="256" t="s">
        <v>84</v>
      </c>
      <c r="B120" s="72" t="s">
        <v>117</v>
      </c>
      <c r="C120" s="64" t="s">
        <v>110</v>
      </c>
      <c r="D120" s="143" t="s">
        <v>121</v>
      </c>
      <c r="E120" s="257">
        <f>E115+E116</f>
        <v>22.459999999999997</v>
      </c>
    </row>
    <row r="121" spans="1:7" hidden="1" x14ac:dyDescent="0.25">
      <c r="A121" s="256" t="s">
        <v>85</v>
      </c>
      <c r="B121" s="73" t="s">
        <v>118</v>
      </c>
      <c r="C121" s="64" t="s">
        <v>110</v>
      </c>
      <c r="D121" s="70"/>
      <c r="E121" s="250">
        <f>E120*1.09</f>
        <v>24.481399999999997</v>
      </c>
    </row>
    <row r="122" spans="1:7" hidden="1" x14ac:dyDescent="0.25">
      <c r="A122" s="256" t="s">
        <v>87</v>
      </c>
      <c r="B122" s="73" t="s">
        <v>119</v>
      </c>
      <c r="C122" s="64" t="s">
        <v>110</v>
      </c>
      <c r="D122" s="58"/>
      <c r="E122" s="258">
        <f>E88</f>
        <v>22.549999999999997</v>
      </c>
      <c r="G122">
        <v>230.75</v>
      </c>
    </row>
    <row r="123" spans="1:7" ht="15.75" hidden="1" thickBot="1" x14ac:dyDescent="0.3">
      <c r="A123" s="259" t="s">
        <v>89</v>
      </c>
      <c r="B123" s="260" t="s">
        <v>120</v>
      </c>
      <c r="C123" s="261" t="s">
        <v>95</v>
      </c>
      <c r="D123" s="262"/>
      <c r="E123" s="263">
        <f>(E120/E122)*100-100</f>
        <v>-0.3991130820399178</v>
      </c>
      <c r="G123">
        <v>196.43</v>
      </c>
    </row>
    <row r="124" spans="1:7" hidden="1" x14ac:dyDescent="0.25"/>
    <row r="125" spans="1:7" hidden="1" x14ac:dyDescent="0.25"/>
    <row r="126" spans="1:7" hidden="1" x14ac:dyDescent="0.25">
      <c r="B126" t="s">
        <v>189</v>
      </c>
      <c r="C126" t="s">
        <v>193</v>
      </c>
      <c r="D126" s="146" t="s">
        <v>190</v>
      </c>
      <c r="G126" s="266">
        <f>G122/G123*100-100</f>
        <v>17.471872931833204</v>
      </c>
    </row>
    <row r="127" spans="1:7" hidden="1" x14ac:dyDescent="0.25">
      <c r="C127" s="153" t="s">
        <v>194</v>
      </c>
    </row>
    <row r="128" spans="1:7" hidden="1" x14ac:dyDescent="0.25"/>
    <row r="129" spans="1:5" hidden="1" x14ac:dyDescent="0.25"/>
    <row r="130" spans="1:5" ht="12" hidden="1" customHeight="1" x14ac:dyDescent="0.25">
      <c r="A130" s="132" t="s">
        <v>0</v>
      </c>
      <c r="B130" s="132"/>
      <c r="E130" s="132" t="s">
        <v>186</v>
      </c>
    </row>
    <row r="131" spans="1:5" ht="12" hidden="1" customHeight="1" x14ac:dyDescent="0.25">
      <c r="A131" s="132" t="s">
        <v>1</v>
      </c>
      <c r="B131" s="132"/>
      <c r="D131" s="132" t="s">
        <v>178</v>
      </c>
    </row>
    <row r="132" spans="1:5" ht="12" hidden="1" customHeight="1" x14ac:dyDescent="0.25">
      <c r="A132" s="132" t="s">
        <v>2</v>
      </c>
      <c r="B132" s="132"/>
      <c r="D132" s="132" t="s">
        <v>167</v>
      </c>
    </row>
    <row r="133" spans="1:5" ht="12" hidden="1" customHeight="1" x14ac:dyDescent="0.25">
      <c r="A133" s="132" t="s">
        <v>3</v>
      </c>
      <c r="B133" s="132"/>
      <c r="D133" s="132" t="s">
        <v>168</v>
      </c>
    </row>
    <row r="134" spans="1:5" ht="12" hidden="1" customHeight="1" x14ac:dyDescent="0.25">
      <c r="A134" s="132" t="s">
        <v>4</v>
      </c>
      <c r="B134" s="132"/>
      <c r="D134" s="132" t="s">
        <v>169</v>
      </c>
    </row>
    <row r="135" spans="1:5" ht="12" hidden="1" customHeight="1" x14ac:dyDescent="0.25">
      <c r="A135" s="132" t="s">
        <v>5</v>
      </c>
      <c r="B135" s="132"/>
      <c r="D135" s="132" t="s">
        <v>170</v>
      </c>
    </row>
    <row r="136" spans="1:5" hidden="1" x14ac:dyDescent="0.25"/>
    <row r="137" spans="1:5" ht="15.75" hidden="1" x14ac:dyDescent="0.25">
      <c r="A137" s="141"/>
      <c r="B137" s="141" t="s">
        <v>243</v>
      </c>
      <c r="C137" s="141"/>
      <c r="D137" s="141"/>
      <c r="E137" s="141"/>
    </row>
    <row r="138" spans="1:5" hidden="1" x14ac:dyDescent="0.25">
      <c r="C138" s="148">
        <v>41598</v>
      </c>
      <c r="D138" s="142"/>
    </row>
    <row r="139" spans="1:5" hidden="1" x14ac:dyDescent="0.25">
      <c r="C139" s="147" t="s">
        <v>191</v>
      </c>
    </row>
    <row r="140" spans="1:5" hidden="1" x14ac:dyDescent="0.25">
      <c r="A140" s="2" t="s">
        <v>6</v>
      </c>
      <c r="B140" s="2"/>
    </row>
    <row r="141" spans="1:5" hidden="1" x14ac:dyDescent="0.25">
      <c r="A141" s="1" t="s">
        <v>195</v>
      </c>
      <c r="B141" s="1"/>
    </row>
    <row r="142" spans="1:5" hidden="1" x14ac:dyDescent="0.25">
      <c r="A142" s="1" t="s">
        <v>7</v>
      </c>
      <c r="B142" s="1"/>
    </row>
    <row r="143" spans="1:5" ht="15.75" hidden="1" thickBot="1" x14ac:dyDescent="0.3">
      <c r="A143" t="s">
        <v>238</v>
      </c>
    </row>
    <row r="144" spans="1:5" hidden="1" x14ac:dyDescent="0.25">
      <c r="A144" s="238" t="s">
        <v>8</v>
      </c>
      <c r="B144" s="239" t="s">
        <v>9</v>
      </c>
      <c r="C144" s="239" t="s">
        <v>10</v>
      </c>
      <c r="D144" s="239" t="s">
        <v>11</v>
      </c>
      <c r="E144" s="241" t="s">
        <v>12</v>
      </c>
    </row>
    <row r="145" spans="1:5" hidden="1" x14ac:dyDescent="0.25">
      <c r="A145" s="303" t="s">
        <v>251</v>
      </c>
      <c r="B145" s="907" t="s">
        <v>256</v>
      </c>
      <c r="C145" s="904"/>
      <c r="D145" s="904"/>
      <c r="E145" s="906"/>
    </row>
    <row r="146" spans="1:5" hidden="1" x14ac:dyDescent="0.25">
      <c r="A146" s="248" t="s">
        <v>15</v>
      </c>
      <c r="B146" s="24" t="s">
        <v>109</v>
      </c>
      <c r="C146" s="144" t="s">
        <v>110</v>
      </c>
      <c r="D146" s="290" t="s">
        <v>111</v>
      </c>
      <c r="E146" s="299">
        <v>0.97</v>
      </c>
    </row>
    <row r="147" spans="1:5" hidden="1" x14ac:dyDescent="0.25">
      <c r="A147" s="248" t="s">
        <v>21</v>
      </c>
      <c r="B147" s="65" t="s">
        <v>112</v>
      </c>
      <c r="C147" s="144" t="s">
        <v>110</v>
      </c>
      <c r="D147" s="290" t="s">
        <v>187</v>
      </c>
      <c r="E147" s="283">
        <v>21.27</v>
      </c>
    </row>
    <row r="148" spans="1:5" hidden="1" x14ac:dyDescent="0.25">
      <c r="A148" s="300" t="s">
        <v>60</v>
      </c>
      <c r="B148" s="60" t="s">
        <v>113</v>
      </c>
      <c r="C148" s="11" t="s">
        <v>59</v>
      </c>
      <c r="D148" s="60"/>
      <c r="E148" s="250">
        <f>'Silumos kaina'!E423</f>
        <v>27.598259961944926</v>
      </c>
    </row>
    <row r="149" spans="1:5" hidden="1" x14ac:dyDescent="0.25">
      <c r="A149" s="300" t="s">
        <v>72</v>
      </c>
      <c r="B149" s="60" t="s">
        <v>114</v>
      </c>
      <c r="C149" s="144" t="s">
        <v>110</v>
      </c>
      <c r="D149" s="144" t="s">
        <v>188</v>
      </c>
      <c r="E149" s="249">
        <v>6.58</v>
      </c>
    </row>
    <row r="150" spans="1:5" hidden="1" x14ac:dyDescent="0.25">
      <c r="A150" s="300" t="s">
        <v>115</v>
      </c>
      <c r="B150" s="60" t="s">
        <v>116</v>
      </c>
      <c r="C150" s="144" t="s">
        <v>110</v>
      </c>
      <c r="D150" s="144" t="s">
        <v>188</v>
      </c>
      <c r="E150" s="301">
        <v>11.21</v>
      </c>
    </row>
    <row r="151" spans="1:5" hidden="1" x14ac:dyDescent="0.25">
      <c r="A151" s="256" t="s">
        <v>84</v>
      </c>
      <c r="B151" s="291" t="s">
        <v>117</v>
      </c>
      <c r="C151" s="144" t="s">
        <v>110</v>
      </c>
      <c r="D151" s="290" t="s">
        <v>121</v>
      </c>
      <c r="E151" s="257">
        <f>E146+E147</f>
        <v>22.24</v>
      </c>
    </row>
    <row r="152" spans="1:5" hidden="1" x14ac:dyDescent="0.25">
      <c r="A152" s="256" t="s">
        <v>85</v>
      </c>
      <c r="B152" s="291" t="s">
        <v>118</v>
      </c>
      <c r="C152" s="144" t="s">
        <v>110</v>
      </c>
      <c r="D152" s="65"/>
      <c r="E152" s="250">
        <f>E151*1.09</f>
        <v>24.241600000000002</v>
      </c>
    </row>
    <row r="153" spans="1:5" hidden="1" x14ac:dyDescent="0.25">
      <c r="A153" s="256" t="s">
        <v>87</v>
      </c>
      <c r="B153" s="291" t="s">
        <v>119</v>
      </c>
      <c r="C153" s="144" t="s">
        <v>110</v>
      </c>
      <c r="D153" s="65"/>
      <c r="E153" s="258">
        <f>E120</f>
        <v>22.459999999999997</v>
      </c>
    </row>
    <row r="154" spans="1:5" hidden="1" x14ac:dyDescent="0.25">
      <c r="A154" s="256" t="s">
        <v>89</v>
      </c>
      <c r="B154" s="292" t="s">
        <v>120</v>
      </c>
      <c r="C154" s="76" t="s">
        <v>95</v>
      </c>
      <c r="D154" s="65"/>
      <c r="E154" s="250">
        <f>(E151/E153)*100-100</f>
        <v>-0.97951914514692362</v>
      </c>
    </row>
    <row r="155" spans="1:5" hidden="1" x14ac:dyDescent="0.25">
      <c r="A155" s="302" t="s">
        <v>252</v>
      </c>
      <c r="B155" s="908" t="s">
        <v>249</v>
      </c>
      <c r="C155" s="890"/>
      <c r="D155" s="890"/>
      <c r="E155" s="892"/>
    </row>
    <row r="156" spans="1:5" hidden="1" x14ac:dyDescent="0.25">
      <c r="A156" s="248" t="s">
        <v>15</v>
      </c>
      <c r="B156" s="44" t="s">
        <v>109</v>
      </c>
      <c r="C156" s="287" t="s">
        <v>110</v>
      </c>
      <c r="D156" s="288" t="s">
        <v>111</v>
      </c>
      <c r="E156" s="289">
        <v>0.97</v>
      </c>
    </row>
    <row r="157" spans="1:5" hidden="1" x14ac:dyDescent="0.25">
      <c r="A157" s="244" t="s">
        <v>21</v>
      </c>
      <c r="B157" s="65" t="s">
        <v>112</v>
      </c>
      <c r="C157" s="61" t="s">
        <v>110</v>
      </c>
      <c r="D157" s="143" t="s">
        <v>250</v>
      </c>
      <c r="E157" s="283">
        <v>20.77</v>
      </c>
    </row>
    <row r="158" spans="1:5" hidden="1" x14ac:dyDescent="0.25">
      <c r="A158" s="256" t="s">
        <v>60</v>
      </c>
      <c r="B158" s="72" t="s">
        <v>117</v>
      </c>
      <c r="C158" s="64" t="s">
        <v>110</v>
      </c>
      <c r="D158" s="143" t="s">
        <v>121</v>
      </c>
      <c r="E158" s="257">
        <f>E156+E157</f>
        <v>21.74</v>
      </c>
    </row>
    <row r="159" spans="1:5" ht="15.75" hidden="1" thickBot="1" x14ac:dyDescent="0.3">
      <c r="A159" s="259" t="s">
        <v>72</v>
      </c>
      <c r="B159" s="284" t="s">
        <v>118</v>
      </c>
      <c r="C159" s="285" t="s">
        <v>110</v>
      </c>
      <c r="D159" s="262"/>
      <c r="E159" s="286">
        <f>E158*1.21</f>
        <v>26.305399999999999</v>
      </c>
    </row>
    <row r="160" spans="1:5" hidden="1" x14ac:dyDescent="0.25"/>
    <row r="161" spans="1:5" hidden="1" x14ac:dyDescent="0.25">
      <c r="B161" t="s">
        <v>189</v>
      </c>
      <c r="C161" t="s">
        <v>193</v>
      </c>
      <c r="D161" s="146" t="s">
        <v>190</v>
      </c>
    </row>
    <row r="162" spans="1:5" hidden="1" x14ac:dyDescent="0.25">
      <c r="C162" s="153" t="s">
        <v>194</v>
      </c>
    </row>
    <row r="163" spans="1:5" ht="10.5" hidden="1" customHeight="1" x14ac:dyDescent="0.25">
      <c r="A163" s="132" t="s">
        <v>0</v>
      </c>
      <c r="B163" s="132"/>
      <c r="E163" s="132" t="s">
        <v>186</v>
      </c>
    </row>
    <row r="164" spans="1:5" ht="10.5" hidden="1" customHeight="1" x14ac:dyDescent="0.25">
      <c r="A164" s="132" t="s">
        <v>1</v>
      </c>
      <c r="B164" s="132"/>
      <c r="D164" s="132" t="s">
        <v>178</v>
      </c>
    </row>
    <row r="165" spans="1:5" ht="10.5" hidden="1" customHeight="1" x14ac:dyDescent="0.25">
      <c r="A165" s="132" t="s">
        <v>2</v>
      </c>
      <c r="B165" s="132"/>
      <c r="D165" s="132" t="s">
        <v>167</v>
      </c>
    </row>
    <row r="166" spans="1:5" ht="10.5" hidden="1" customHeight="1" x14ac:dyDescent="0.25">
      <c r="A166" s="132" t="s">
        <v>3</v>
      </c>
      <c r="B166" s="132"/>
      <c r="D166" s="132" t="s">
        <v>168</v>
      </c>
    </row>
    <row r="167" spans="1:5" ht="10.5" hidden="1" customHeight="1" x14ac:dyDescent="0.25">
      <c r="A167" s="132" t="s">
        <v>4</v>
      </c>
      <c r="B167" s="132"/>
      <c r="D167" s="132" t="s">
        <v>169</v>
      </c>
    </row>
    <row r="168" spans="1:5" ht="10.5" hidden="1" customHeight="1" x14ac:dyDescent="0.25">
      <c r="A168" s="132" t="s">
        <v>5</v>
      </c>
      <c r="B168" s="132"/>
      <c r="D168" s="132" t="s">
        <v>170</v>
      </c>
    </row>
    <row r="169" spans="1:5" hidden="1" x14ac:dyDescent="0.25"/>
    <row r="170" spans="1:5" ht="15.75" hidden="1" x14ac:dyDescent="0.25">
      <c r="A170" s="141"/>
      <c r="B170" s="141" t="s">
        <v>259</v>
      </c>
      <c r="C170" s="141"/>
      <c r="D170" s="141"/>
      <c r="E170" s="141"/>
    </row>
    <row r="171" spans="1:5" hidden="1" x14ac:dyDescent="0.25">
      <c r="C171" s="148">
        <v>41627</v>
      </c>
      <c r="D171" s="142"/>
    </row>
    <row r="172" spans="1:5" hidden="1" x14ac:dyDescent="0.25">
      <c r="C172" s="147" t="s">
        <v>191</v>
      </c>
    </row>
    <row r="173" spans="1:5" hidden="1" x14ac:dyDescent="0.25">
      <c r="A173" s="2" t="s">
        <v>6</v>
      </c>
      <c r="B173" s="2"/>
    </row>
    <row r="174" spans="1:5" hidden="1" x14ac:dyDescent="0.25">
      <c r="A174" s="1" t="s">
        <v>195</v>
      </c>
      <c r="B174" s="1"/>
    </row>
    <row r="175" spans="1:5" hidden="1" x14ac:dyDescent="0.25">
      <c r="A175" s="1" t="s">
        <v>7</v>
      </c>
      <c r="B175" s="1"/>
    </row>
    <row r="176" spans="1:5" ht="15.75" hidden="1" thickBot="1" x14ac:dyDescent="0.3">
      <c r="A176" t="s">
        <v>238</v>
      </c>
    </row>
    <row r="177" spans="1:5" hidden="1" x14ac:dyDescent="0.25">
      <c r="A177" s="238" t="s">
        <v>8</v>
      </c>
      <c r="B177" s="239" t="s">
        <v>9</v>
      </c>
      <c r="C177" s="239" t="s">
        <v>10</v>
      </c>
      <c r="D177" s="239" t="s">
        <v>11</v>
      </c>
      <c r="E177" s="241" t="s">
        <v>12</v>
      </c>
    </row>
    <row r="178" spans="1:5" hidden="1" x14ac:dyDescent="0.25">
      <c r="A178" s="303" t="s">
        <v>251</v>
      </c>
      <c r="B178" s="907" t="s">
        <v>256</v>
      </c>
      <c r="C178" s="904"/>
      <c r="D178" s="904"/>
      <c r="E178" s="906"/>
    </row>
    <row r="179" spans="1:5" hidden="1" x14ac:dyDescent="0.25">
      <c r="A179" s="248" t="s">
        <v>15</v>
      </c>
      <c r="B179" s="24" t="s">
        <v>109</v>
      </c>
      <c r="C179" s="144" t="s">
        <v>110</v>
      </c>
      <c r="D179" s="290" t="s">
        <v>111</v>
      </c>
      <c r="E179" s="299">
        <v>0.97</v>
      </c>
    </row>
    <row r="180" spans="1:5" hidden="1" x14ac:dyDescent="0.25">
      <c r="A180" s="248" t="s">
        <v>21</v>
      </c>
      <c r="B180" s="65" t="s">
        <v>112</v>
      </c>
      <c r="C180" s="144" t="s">
        <v>110</v>
      </c>
      <c r="D180" s="290" t="s">
        <v>187</v>
      </c>
      <c r="E180" s="283">
        <v>21.5</v>
      </c>
    </row>
    <row r="181" spans="1:5" hidden="1" x14ac:dyDescent="0.25">
      <c r="A181" s="300" t="s">
        <v>60</v>
      </c>
      <c r="B181" s="60" t="s">
        <v>113</v>
      </c>
      <c r="C181" s="11" t="s">
        <v>59</v>
      </c>
      <c r="D181" s="60"/>
      <c r="E181" s="250">
        <f>'Silumos kaina'!E512</f>
        <v>28.039437351918917</v>
      </c>
    </row>
    <row r="182" spans="1:5" hidden="1" x14ac:dyDescent="0.25">
      <c r="A182" s="300" t="s">
        <v>72</v>
      </c>
      <c r="B182" s="60" t="s">
        <v>114</v>
      </c>
      <c r="C182" s="144" t="s">
        <v>110</v>
      </c>
      <c r="D182" s="144" t="s">
        <v>188</v>
      </c>
      <c r="E182" s="249">
        <v>6.58</v>
      </c>
    </row>
    <row r="183" spans="1:5" hidden="1" x14ac:dyDescent="0.25">
      <c r="A183" s="300" t="s">
        <v>115</v>
      </c>
      <c r="B183" s="60" t="s">
        <v>116</v>
      </c>
      <c r="C183" s="144" t="s">
        <v>110</v>
      </c>
      <c r="D183" s="144" t="s">
        <v>188</v>
      </c>
      <c r="E183" s="301">
        <v>11.21</v>
      </c>
    </row>
    <row r="184" spans="1:5" hidden="1" x14ac:dyDescent="0.25">
      <c r="A184" s="256" t="s">
        <v>84</v>
      </c>
      <c r="B184" s="291" t="s">
        <v>117</v>
      </c>
      <c r="C184" s="144" t="s">
        <v>110</v>
      </c>
      <c r="D184" s="290" t="s">
        <v>121</v>
      </c>
      <c r="E184" s="257">
        <f>E179+E180</f>
        <v>22.47</v>
      </c>
    </row>
    <row r="185" spans="1:5" hidden="1" x14ac:dyDescent="0.25">
      <c r="A185" s="256" t="s">
        <v>85</v>
      </c>
      <c r="B185" s="291" t="s">
        <v>118</v>
      </c>
      <c r="C185" s="144" t="s">
        <v>110</v>
      </c>
      <c r="D185" s="65"/>
      <c r="E185" s="250">
        <f>E184*1.09</f>
        <v>24.4923</v>
      </c>
    </row>
    <row r="186" spans="1:5" hidden="1" x14ac:dyDescent="0.25">
      <c r="A186" s="256" t="s">
        <v>87</v>
      </c>
      <c r="B186" s="291" t="s">
        <v>119</v>
      </c>
      <c r="C186" s="144" t="s">
        <v>110</v>
      </c>
      <c r="D186" s="65"/>
      <c r="E186" s="258">
        <f>E151</f>
        <v>22.24</v>
      </c>
    </row>
    <row r="187" spans="1:5" hidden="1" x14ac:dyDescent="0.25">
      <c r="A187" s="256" t="s">
        <v>89</v>
      </c>
      <c r="B187" s="292" t="s">
        <v>120</v>
      </c>
      <c r="C187" s="76" t="s">
        <v>95</v>
      </c>
      <c r="D187" s="65"/>
      <c r="E187" s="250">
        <f>(E184/E186)*100-100</f>
        <v>1.0341726618705138</v>
      </c>
    </row>
    <row r="188" spans="1:5" hidden="1" x14ac:dyDescent="0.25">
      <c r="A188" s="302" t="s">
        <v>252</v>
      </c>
      <c r="B188" s="908" t="s">
        <v>249</v>
      </c>
      <c r="C188" s="890"/>
      <c r="D188" s="890"/>
      <c r="E188" s="892"/>
    </row>
    <row r="189" spans="1:5" hidden="1" x14ac:dyDescent="0.25">
      <c r="A189" s="248" t="s">
        <v>15</v>
      </c>
      <c r="B189" s="44" t="s">
        <v>109</v>
      </c>
      <c r="C189" s="287" t="s">
        <v>110</v>
      </c>
      <c r="D189" s="288" t="s">
        <v>111</v>
      </c>
      <c r="E189" s="289">
        <v>0.97</v>
      </c>
    </row>
    <row r="190" spans="1:5" hidden="1" x14ac:dyDescent="0.25">
      <c r="A190" s="244" t="s">
        <v>21</v>
      </c>
      <c r="B190" s="65" t="s">
        <v>112</v>
      </c>
      <c r="C190" s="61" t="s">
        <v>110</v>
      </c>
      <c r="D190" s="143" t="s">
        <v>250</v>
      </c>
      <c r="E190" s="283">
        <f>28.04/100*51+6.58+0.11</f>
        <v>20.990400000000001</v>
      </c>
    </row>
    <row r="191" spans="1:5" hidden="1" x14ac:dyDescent="0.25">
      <c r="A191" s="256" t="s">
        <v>60</v>
      </c>
      <c r="B191" s="72" t="s">
        <v>117</v>
      </c>
      <c r="C191" s="64" t="s">
        <v>110</v>
      </c>
      <c r="D191" s="143" t="s">
        <v>121</v>
      </c>
      <c r="E191" s="257">
        <f>E189+E190</f>
        <v>21.9604</v>
      </c>
    </row>
    <row r="192" spans="1:5" ht="15.75" hidden="1" thickBot="1" x14ac:dyDescent="0.3">
      <c r="A192" s="259" t="s">
        <v>72</v>
      </c>
      <c r="B192" s="284" t="s">
        <v>118</v>
      </c>
      <c r="C192" s="285" t="s">
        <v>110</v>
      </c>
      <c r="D192" s="262"/>
      <c r="E192" s="286">
        <f>E191*1.21</f>
        <v>26.572084</v>
      </c>
    </row>
    <row r="193" spans="1:5" hidden="1" x14ac:dyDescent="0.25"/>
    <row r="194" spans="1:5" hidden="1" x14ac:dyDescent="0.25">
      <c r="B194" t="s">
        <v>189</v>
      </c>
      <c r="C194" t="s">
        <v>193</v>
      </c>
      <c r="D194" s="146" t="s">
        <v>190</v>
      </c>
    </row>
    <row r="195" spans="1:5" hidden="1" x14ac:dyDescent="0.25">
      <c r="C195" s="153" t="s">
        <v>194</v>
      </c>
    </row>
    <row r="196" spans="1:5" ht="14.25" hidden="1" customHeight="1" x14ac:dyDescent="0.25">
      <c r="A196" s="132" t="s">
        <v>0</v>
      </c>
      <c r="B196" s="132"/>
      <c r="E196" s="132" t="s">
        <v>186</v>
      </c>
    </row>
    <row r="197" spans="1:5" ht="14.25" hidden="1" customHeight="1" x14ac:dyDescent="0.25">
      <c r="A197" s="132" t="s">
        <v>1</v>
      </c>
      <c r="B197" s="132"/>
      <c r="D197" s="132" t="s">
        <v>178</v>
      </c>
    </row>
    <row r="198" spans="1:5" ht="14.25" hidden="1" customHeight="1" x14ac:dyDescent="0.25">
      <c r="A198" s="132" t="s">
        <v>2</v>
      </c>
      <c r="B198" s="132"/>
      <c r="D198" s="132" t="s">
        <v>167</v>
      </c>
    </row>
    <row r="199" spans="1:5" ht="14.25" hidden="1" customHeight="1" x14ac:dyDescent="0.25">
      <c r="A199" s="132" t="s">
        <v>3</v>
      </c>
      <c r="B199" s="132"/>
      <c r="D199" s="132" t="s">
        <v>168</v>
      </c>
    </row>
    <row r="200" spans="1:5" ht="14.25" hidden="1" customHeight="1" x14ac:dyDescent="0.25">
      <c r="A200" s="132" t="s">
        <v>4</v>
      </c>
      <c r="B200" s="132"/>
      <c r="D200" s="132" t="s">
        <v>169</v>
      </c>
    </row>
    <row r="201" spans="1:5" ht="14.25" hidden="1" customHeight="1" x14ac:dyDescent="0.25">
      <c r="A201" s="132" t="s">
        <v>5</v>
      </c>
      <c r="B201" s="132"/>
      <c r="D201" s="132" t="s">
        <v>170</v>
      </c>
    </row>
    <row r="202" spans="1:5" ht="12" hidden="1" customHeight="1" x14ac:dyDescent="0.25"/>
    <row r="203" spans="1:5" ht="15.75" hidden="1" x14ac:dyDescent="0.25">
      <c r="A203" s="141"/>
      <c r="B203" s="141" t="s">
        <v>261</v>
      </c>
      <c r="C203" s="141"/>
      <c r="D203" s="141"/>
      <c r="E203" s="141"/>
    </row>
    <row r="204" spans="1:5" ht="12.75" hidden="1" customHeight="1" x14ac:dyDescent="0.25">
      <c r="C204" s="148">
        <v>41659</v>
      </c>
      <c r="D204" s="142"/>
    </row>
    <row r="205" spans="1:5" ht="12" hidden="1" customHeight="1" x14ac:dyDescent="0.25">
      <c r="C205" s="147" t="s">
        <v>191</v>
      </c>
    </row>
    <row r="206" spans="1:5" hidden="1" x14ac:dyDescent="0.25">
      <c r="A206" s="2" t="s">
        <v>6</v>
      </c>
      <c r="B206" s="2"/>
    </row>
    <row r="207" spans="1:5" hidden="1" x14ac:dyDescent="0.25">
      <c r="A207" s="1" t="s">
        <v>195</v>
      </c>
      <c r="B207" s="1"/>
    </row>
    <row r="208" spans="1:5" hidden="1" x14ac:dyDescent="0.25">
      <c r="A208" s="1" t="s">
        <v>7</v>
      </c>
      <c r="B208" s="1"/>
    </row>
    <row r="209" spans="1:5" ht="15.75" hidden="1" thickBot="1" x14ac:dyDescent="0.3">
      <c r="A209" t="s">
        <v>238</v>
      </c>
    </row>
    <row r="210" spans="1:5" hidden="1" x14ac:dyDescent="0.25">
      <c r="A210" s="238" t="s">
        <v>8</v>
      </c>
      <c r="B210" s="239" t="s">
        <v>9</v>
      </c>
      <c r="C210" s="239" t="s">
        <v>10</v>
      </c>
      <c r="D210" s="239" t="s">
        <v>11</v>
      </c>
      <c r="E210" s="241" t="s">
        <v>12</v>
      </c>
    </row>
    <row r="211" spans="1:5" hidden="1" x14ac:dyDescent="0.25">
      <c r="A211" s="303" t="s">
        <v>251</v>
      </c>
      <c r="B211" s="907" t="s">
        <v>256</v>
      </c>
      <c r="C211" s="904"/>
      <c r="D211" s="904"/>
      <c r="E211" s="906"/>
    </row>
    <row r="212" spans="1:5" hidden="1" x14ac:dyDescent="0.25">
      <c r="A212" s="248" t="s">
        <v>15</v>
      </c>
      <c r="B212" s="24" t="s">
        <v>109</v>
      </c>
      <c r="C212" s="144" t="s">
        <v>110</v>
      </c>
      <c r="D212" s="290" t="s">
        <v>111</v>
      </c>
      <c r="E212" s="299">
        <v>0.97</v>
      </c>
    </row>
    <row r="213" spans="1:5" hidden="1" x14ac:dyDescent="0.25">
      <c r="A213" s="248" t="s">
        <v>21</v>
      </c>
      <c r="B213" s="65" t="s">
        <v>112</v>
      </c>
      <c r="C213" s="144" t="s">
        <v>110</v>
      </c>
      <c r="D213" s="290" t="s">
        <v>187</v>
      </c>
      <c r="E213" s="283">
        <v>21.37</v>
      </c>
    </row>
    <row r="214" spans="1:5" hidden="1" x14ac:dyDescent="0.25">
      <c r="A214" s="300" t="s">
        <v>60</v>
      </c>
      <c r="B214" s="60" t="s">
        <v>113</v>
      </c>
      <c r="C214" s="11" t="s">
        <v>59</v>
      </c>
      <c r="D214" s="60"/>
      <c r="E214" s="250">
        <f>'Silumos kaina'!E607</f>
        <v>27.791534858098832</v>
      </c>
    </row>
    <row r="215" spans="1:5" hidden="1" x14ac:dyDescent="0.25">
      <c r="A215" s="300" t="s">
        <v>72</v>
      </c>
      <c r="B215" s="60" t="s">
        <v>114</v>
      </c>
      <c r="C215" s="144" t="s">
        <v>110</v>
      </c>
      <c r="D215" s="144" t="s">
        <v>188</v>
      </c>
      <c r="E215" s="249">
        <v>6.58</v>
      </c>
    </row>
    <row r="216" spans="1:5" hidden="1" x14ac:dyDescent="0.25">
      <c r="A216" s="300" t="s">
        <v>115</v>
      </c>
      <c r="B216" s="60" t="s">
        <v>116</v>
      </c>
      <c r="C216" s="144" t="s">
        <v>110</v>
      </c>
      <c r="D216" s="144" t="s">
        <v>188</v>
      </c>
      <c r="E216" s="301">
        <v>11.21</v>
      </c>
    </row>
    <row r="217" spans="1:5" hidden="1" x14ac:dyDescent="0.25">
      <c r="A217" s="256" t="s">
        <v>84</v>
      </c>
      <c r="B217" s="291" t="s">
        <v>117</v>
      </c>
      <c r="C217" s="144" t="s">
        <v>110</v>
      </c>
      <c r="D217" s="290" t="s">
        <v>121</v>
      </c>
      <c r="E217" s="257">
        <f>E212+E213</f>
        <v>22.34</v>
      </c>
    </row>
    <row r="218" spans="1:5" hidden="1" x14ac:dyDescent="0.25">
      <c r="A218" s="256" t="s">
        <v>85</v>
      </c>
      <c r="B218" s="291" t="s">
        <v>118</v>
      </c>
      <c r="C218" s="144" t="s">
        <v>110</v>
      </c>
      <c r="D218" s="65"/>
      <c r="E218" s="250">
        <f>E217*1.09</f>
        <v>24.3506</v>
      </c>
    </row>
    <row r="219" spans="1:5" hidden="1" x14ac:dyDescent="0.25">
      <c r="A219" s="256" t="s">
        <v>87</v>
      </c>
      <c r="B219" s="291" t="s">
        <v>119</v>
      </c>
      <c r="C219" s="144" t="s">
        <v>110</v>
      </c>
      <c r="D219" s="65"/>
      <c r="E219" s="258">
        <f>E184</f>
        <v>22.47</v>
      </c>
    </row>
    <row r="220" spans="1:5" hidden="1" x14ac:dyDescent="0.25">
      <c r="A220" s="256" t="s">
        <v>89</v>
      </c>
      <c r="B220" s="292" t="s">
        <v>120</v>
      </c>
      <c r="C220" s="76" t="s">
        <v>95</v>
      </c>
      <c r="D220" s="65"/>
      <c r="E220" s="250">
        <f>(E217/E219)*100-100</f>
        <v>-0.57854917668001349</v>
      </c>
    </row>
    <row r="221" spans="1:5" hidden="1" x14ac:dyDescent="0.25">
      <c r="A221" s="302" t="s">
        <v>252</v>
      </c>
      <c r="B221" s="908" t="s">
        <v>249</v>
      </c>
      <c r="C221" s="890"/>
      <c r="D221" s="890"/>
      <c r="E221" s="892"/>
    </row>
    <row r="222" spans="1:5" hidden="1" x14ac:dyDescent="0.25">
      <c r="A222" s="248" t="s">
        <v>15</v>
      </c>
      <c r="B222" s="44" t="s">
        <v>109</v>
      </c>
      <c r="C222" s="287" t="s">
        <v>110</v>
      </c>
      <c r="D222" s="288" t="s">
        <v>111</v>
      </c>
      <c r="E222" s="289">
        <v>0.97</v>
      </c>
    </row>
    <row r="223" spans="1:5" hidden="1" x14ac:dyDescent="0.25">
      <c r="A223" s="244" t="s">
        <v>21</v>
      </c>
      <c r="B223" s="65" t="s">
        <v>112</v>
      </c>
      <c r="C223" s="61" t="s">
        <v>110</v>
      </c>
      <c r="D223" s="143" t="s">
        <v>250</v>
      </c>
      <c r="E223" s="283">
        <f>27.79/100*51+6.58+0.11</f>
        <v>20.862899999999996</v>
      </c>
    </row>
    <row r="224" spans="1:5" hidden="1" x14ac:dyDescent="0.25">
      <c r="A224" s="256" t="s">
        <v>60</v>
      </c>
      <c r="B224" s="72" t="s">
        <v>117</v>
      </c>
      <c r="C224" s="64" t="s">
        <v>110</v>
      </c>
      <c r="D224" s="143" t="s">
        <v>121</v>
      </c>
      <c r="E224" s="257">
        <f>E222+E223</f>
        <v>21.832899999999995</v>
      </c>
    </row>
    <row r="225" spans="1:5" ht="15.75" hidden="1" thickBot="1" x14ac:dyDescent="0.3">
      <c r="A225" s="259" t="s">
        <v>72</v>
      </c>
      <c r="B225" s="284" t="s">
        <v>118</v>
      </c>
      <c r="C225" s="285" t="s">
        <v>110</v>
      </c>
      <c r="D225" s="262"/>
      <c r="E225" s="286">
        <f>E224*1.21</f>
        <v>26.417808999999995</v>
      </c>
    </row>
    <row r="226" spans="1:5" ht="12" hidden="1" customHeight="1" x14ac:dyDescent="0.25"/>
    <row r="227" spans="1:5" hidden="1" x14ac:dyDescent="0.25">
      <c r="B227" t="s">
        <v>189</v>
      </c>
      <c r="C227" t="s">
        <v>193</v>
      </c>
      <c r="D227" s="146" t="s">
        <v>190</v>
      </c>
    </row>
    <row r="228" spans="1:5" hidden="1" x14ac:dyDescent="0.25">
      <c r="C228" s="153" t="s">
        <v>194</v>
      </c>
    </row>
    <row r="229" spans="1:5" hidden="1" x14ac:dyDescent="0.25">
      <c r="C229" s="153"/>
    </row>
    <row r="230" spans="1:5" hidden="1" x14ac:dyDescent="0.25">
      <c r="C230" s="153"/>
    </row>
    <row r="231" spans="1:5" hidden="1" x14ac:dyDescent="0.25">
      <c r="A231" s="132" t="s">
        <v>0</v>
      </c>
      <c r="B231" s="132"/>
      <c r="E231" s="132" t="s">
        <v>186</v>
      </c>
    </row>
    <row r="232" spans="1:5" hidden="1" x14ac:dyDescent="0.25">
      <c r="A232" s="132" t="s">
        <v>1</v>
      </c>
      <c r="B232" s="132"/>
      <c r="D232" s="132" t="s">
        <v>178</v>
      </c>
    </row>
    <row r="233" spans="1:5" hidden="1" x14ac:dyDescent="0.25">
      <c r="A233" s="132" t="s">
        <v>2</v>
      </c>
      <c r="B233" s="132"/>
      <c r="D233" s="132" t="s">
        <v>167</v>
      </c>
    </row>
    <row r="234" spans="1:5" hidden="1" x14ac:dyDescent="0.25">
      <c r="A234" s="132" t="s">
        <v>3</v>
      </c>
      <c r="B234" s="132"/>
      <c r="D234" s="132" t="s">
        <v>168</v>
      </c>
    </row>
    <row r="235" spans="1:5" hidden="1" x14ac:dyDescent="0.25">
      <c r="A235" s="132" t="s">
        <v>4</v>
      </c>
      <c r="B235" s="132"/>
      <c r="D235" s="132" t="s">
        <v>169</v>
      </c>
    </row>
    <row r="236" spans="1:5" hidden="1" x14ac:dyDescent="0.25">
      <c r="A236" s="132" t="s">
        <v>5</v>
      </c>
      <c r="B236" s="132"/>
      <c r="D236" s="132" t="s">
        <v>170</v>
      </c>
    </row>
    <row r="237" spans="1:5" ht="12" hidden="1" customHeight="1" x14ac:dyDescent="0.25"/>
    <row r="238" spans="1:5" ht="15.75" hidden="1" x14ac:dyDescent="0.25">
      <c r="A238" s="141"/>
      <c r="B238" s="141" t="s">
        <v>270</v>
      </c>
      <c r="C238" s="141"/>
      <c r="D238" s="141"/>
      <c r="E238" s="141"/>
    </row>
    <row r="239" spans="1:5" ht="12" hidden="1" customHeight="1" x14ac:dyDescent="0.25">
      <c r="C239" s="322">
        <v>41690</v>
      </c>
      <c r="D239" s="142"/>
    </row>
    <row r="240" spans="1:5" ht="12" hidden="1" customHeight="1" x14ac:dyDescent="0.25">
      <c r="C240" s="147" t="s">
        <v>191</v>
      </c>
    </row>
    <row r="241" spans="1:5" hidden="1" x14ac:dyDescent="0.25">
      <c r="A241" s="2" t="s">
        <v>6</v>
      </c>
      <c r="B241" s="2"/>
    </row>
    <row r="242" spans="1:5" hidden="1" x14ac:dyDescent="0.25">
      <c r="A242" s="1" t="s">
        <v>195</v>
      </c>
      <c r="B242" s="1"/>
    </row>
    <row r="243" spans="1:5" hidden="1" x14ac:dyDescent="0.25">
      <c r="A243" s="1" t="s">
        <v>7</v>
      </c>
      <c r="B243" s="1"/>
    </row>
    <row r="244" spans="1:5" ht="15.75" hidden="1" thickBot="1" x14ac:dyDescent="0.3">
      <c r="A244" t="s">
        <v>238</v>
      </c>
    </row>
    <row r="245" spans="1:5" hidden="1" x14ac:dyDescent="0.25">
      <c r="A245" s="238" t="s">
        <v>8</v>
      </c>
      <c r="B245" s="239" t="s">
        <v>9</v>
      </c>
      <c r="C245" s="239" t="s">
        <v>10</v>
      </c>
      <c r="D245" s="239" t="s">
        <v>11</v>
      </c>
      <c r="E245" s="241" t="s">
        <v>12</v>
      </c>
    </row>
    <row r="246" spans="1:5" hidden="1" x14ac:dyDescent="0.25">
      <c r="A246" s="303" t="s">
        <v>251</v>
      </c>
      <c r="B246" s="907" t="s">
        <v>256</v>
      </c>
      <c r="C246" s="904"/>
      <c r="D246" s="904"/>
      <c r="E246" s="906"/>
    </row>
    <row r="247" spans="1:5" hidden="1" x14ac:dyDescent="0.25">
      <c r="A247" s="248" t="s">
        <v>15</v>
      </c>
      <c r="B247" s="24" t="s">
        <v>109</v>
      </c>
      <c r="C247" s="144" t="s">
        <v>110</v>
      </c>
      <c r="D247" s="290" t="s">
        <v>111</v>
      </c>
      <c r="E247" s="299">
        <v>0.97</v>
      </c>
    </row>
    <row r="248" spans="1:5" hidden="1" x14ac:dyDescent="0.25">
      <c r="A248" s="248" t="s">
        <v>21</v>
      </c>
      <c r="B248" s="65" t="s">
        <v>112</v>
      </c>
      <c r="C248" s="144" t="s">
        <v>110</v>
      </c>
      <c r="D248" s="290" t="s">
        <v>187</v>
      </c>
      <c r="E248" s="283">
        <v>21.55</v>
      </c>
    </row>
    <row r="249" spans="1:5" hidden="1" x14ac:dyDescent="0.25">
      <c r="A249" s="300" t="s">
        <v>60</v>
      </c>
      <c r="B249" s="60" t="s">
        <v>113</v>
      </c>
      <c r="C249" s="11" t="s">
        <v>59</v>
      </c>
      <c r="D249" s="60"/>
      <c r="E249" s="250">
        <f>'Silumos kaina'!E700</f>
        <v>28.126129823830308</v>
      </c>
    </row>
    <row r="250" spans="1:5" hidden="1" x14ac:dyDescent="0.25">
      <c r="A250" s="300" t="s">
        <v>72</v>
      </c>
      <c r="B250" s="60" t="s">
        <v>114</v>
      </c>
      <c r="C250" s="144" t="s">
        <v>110</v>
      </c>
      <c r="D250" s="144" t="s">
        <v>188</v>
      </c>
      <c r="E250" s="249">
        <v>6.58</v>
      </c>
    </row>
    <row r="251" spans="1:5" hidden="1" x14ac:dyDescent="0.25">
      <c r="A251" s="300" t="s">
        <v>115</v>
      </c>
      <c r="B251" s="60" t="s">
        <v>116</v>
      </c>
      <c r="C251" s="144" t="s">
        <v>110</v>
      </c>
      <c r="D251" s="144" t="s">
        <v>188</v>
      </c>
      <c r="E251" s="301">
        <v>11.21</v>
      </c>
    </row>
    <row r="252" spans="1:5" hidden="1" x14ac:dyDescent="0.25">
      <c r="A252" s="256" t="s">
        <v>84</v>
      </c>
      <c r="B252" s="291" t="s">
        <v>117</v>
      </c>
      <c r="C252" s="144" t="s">
        <v>110</v>
      </c>
      <c r="D252" s="290" t="s">
        <v>121</v>
      </c>
      <c r="E252" s="257">
        <f>E247+E248</f>
        <v>22.52</v>
      </c>
    </row>
    <row r="253" spans="1:5" hidden="1" x14ac:dyDescent="0.25">
      <c r="A253" s="256" t="s">
        <v>85</v>
      </c>
      <c r="B253" s="291" t="s">
        <v>118</v>
      </c>
      <c r="C253" s="144" t="s">
        <v>110</v>
      </c>
      <c r="D253" s="65"/>
      <c r="E253" s="250">
        <f>E252*1.09</f>
        <v>24.546800000000001</v>
      </c>
    </row>
    <row r="254" spans="1:5" hidden="1" x14ac:dyDescent="0.25">
      <c r="A254" s="256" t="s">
        <v>87</v>
      </c>
      <c r="B254" s="291" t="s">
        <v>119</v>
      </c>
      <c r="C254" s="144" t="s">
        <v>110</v>
      </c>
      <c r="D254" s="65"/>
      <c r="E254" s="258">
        <f>E217</f>
        <v>22.34</v>
      </c>
    </row>
    <row r="255" spans="1:5" hidden="1" x14ac:dyDescent="0.25">
      <c r="A255" s="256" t="s">
        <v>89</v>
      </c>
      <c r="B255" s="292" t="s">
        <v>120</v>
      </c>
      <c r="C255" s="76" t="s">
        <v>95</v>
      </c>
      <c r="D255" s="65"/>
      <c r="E255" s="250">
        <f>(E252/E254)*100-100</f>
        <v>0.80572963294538624</v>
      </c>
    </row>
    <row r="256" spans="1:5" hidden="1" x14ac:dyDescent="0.25">
      <c r="A256" s="302" t="s">
        <v>252</v>
      </c>
      <c r="B256" s="908" t="s">
        <v>249</v>
      </c>
      <c r="C256" s="890"/>
      <c r="D256" s="890"/>
      <c r="E256" s="892"/>
    </row>
    <row r="257" spans="1:5" hidden="1" x14ac:dyDescent="0.25">
      <c r="A257" s="248" t="s">
        <v>15</v>
      </c>
      <c r="B257" s="44" t="s">
        <v>109</v>
      </c>
      <c r="C257" s="287" t="s">
        <v>110</v>
      </c>
      <c r="D257" s="288" t="s">
        <v>111</v>
      </c>
      <c r="E257" s="289">
        <v>0.97</v>
      </c>
    </row>
    <row r="258" spans="1:5" hidden="1" x14ac:dyDescent="0.25">
      <c r="A258" s="244" t="s">
        <v>21</v>
      </c>
      <c r="B258" s="65" t="s">
        <v>112</v>
      </c>
      <c r="C258" s="61" t="s">
        <v>110</v>
      </c>
      <c r="D258" s="143" t="s">
        <v>250</v>
      </c>
      <c r="E258" s="283">
        <f>28.13/100*51+6.58+0.11</f>
        <v>21.036299999999997</v>
      </c>
    </row>
    <row r="259" spans="1:5" hidden="1" x14ac:dyDescent="0.25">
      <c r="A259" s="256" t="s">
        <v>60</v>
      </c>
      <c r="B259" s="72" t="s">
        <v>117</v>
      </c>
      <c r="C259" s="64" t="s">
        <v>110</v>
      </c>
      <c r="D259" s="143" t="s">
        <v>121</v>
      </c>
      <c r="E259" s="257">
        <f>E257+E258</f>
        <v>22.006299999999996</v>
      </c>
    </row>
    <row r="260" spans="1:5" ht="15.75" hidden="1" thickBot="1" x14ac:dyDescent="0.3">
      <c r="A260" s="259" t="s">
        <v>72</v>
      </c>
      <c r="B260" s="284" t="s">
        <v>118</v>
      </c>
      <c r="C260" s="285" t="s">
        <v>110</v>
      </c>
      <c r="D260" s="262"/>
      <c r="E260" s="286">
        <f>E259*1.21</f>
        <v>26.627622999999993</v>
      </c>
    </row>
    <row r="261" spans="1:5" ht="12" hidden="1" customHeight="1" x14ac:dyDescent="0.25"/>
    <row r="262" spans="1:5" hidden="1" x14ac:dyDescent="0.25">
      <c r="B262" t="s">
        <v>189</v>
      </c>
      <c r="C262" t="s">
        <v>193</v>
      </c>
      <c r="D262" s="146" t="s">
        <v>190</v>
      </c>
    </row>
    <row r="263" spans="1:5" hidden="1" x14ac:dyDescent="0.25">
      <c r="D263" s="146"/>
    </row>
    <row r="264" spans="1:5" hidden="1" x14ac:dyDescent="0.25">
      <c r="D264" s="146"/>
    </row>
    <row r="265" spans="1:5" hidden="1" x14ac:dyDescent="0.25">
      <c r="A265" s="132" t="s">
        <v>0</v>
      </c>
      <c r="B265" s="132"/>
      <c r="E265" s="132" t="s">
        <v>186</v>
      </c>
    </row>
    <row r="266" spans="1:5" hidden="1" x14ac:dyDescent="0.25">
      <c r="A266" s="132" t="s">
        <v>1</v>
      </c>
      <c r="B266" s="132"/>
      <c r="D266" s="132" t="s">
        <v>178</v>
      </c>
    </row>
    <row r="267" spans="1:5" hidden="1" x14ac:dyDescent="0.25">
      <c r="A267" s="132" t="s">
        <v>2</v>
      </c>
      <c r="B267" s="132"/>
      <c r="D267" s="132" t="s">
        <v>167</v>
      </c>
    </row>
    <row r="268" spans="1:5" hidden="1" x14ac:dyDescent="0.25">
      <c r="A268" s="132" t="s">
        <v>3</v>
      </c>
      <c r="B268" s="132"/>
      <c r="D268" s="132" t="s">
        <v>168</v>
      </c>
    </row>
    <row r="269" spans="1:5" hidden="1" x14ac:dyDescent="0.25">
      <c r="A269" s="132" t="s">
        <v>4</v>
      </c>
      <c r="B269" s="132"/>
      <c r="D269" s="132" t="s">
        <v>169</v>
      </c>
    </row>
    <row r="270" spans="1:5" hidden="1" x14ac:dyDescent="0.25">
      <c r="A270" s="132" t="s">
        <v>5</v>
      </c>
      <c r="B270" s="132"/>
      <c r="D270" s="132" t="s">
        <v>170</v>
      </c>
    </row>
    <row r="271" spans="1:5" hidden="1" x14ac:dyDescent="0.25"/>
    <row r="272" spans="1:5" ht="15.75" hidden="1" x14ac:dyDescent="0.25">
      <c r="A272" s="141"/>
      <c r="B272" s="141" t="s">
        <v>273</v>
      </c>
      <c r="C272" s="141"/>
      <c r="D272" s="141"/>
      <c r="E272" s="141"/>
    </row>
    <row r="273" spans="1:5" hidden="1" x14ac:dyDescent="0.25">
      <c r="C273" s="322">
        <v>41718</v>
      </c>
      <c r="D273" s="142"/>
    </row>
    <row r="274" spans="1:5" hidden="1" x14ac:dyDescent="0.25">
      <c r="C274" s="147" t="s">
        <v>191</v>
      </c>
    </row>
    <row r="275" spans="1:5" hidden="1" x14ac:dyDescent="0.25">
      <c r="A275" s="2" t="s">
        <v>6</v>
      </c>
      <c r="B275" s="2"/>
    </row>
    <row r="276" spans="1:5" hidden="1" x14ac:dyDescent="0.25">
      <c r="A276" s="1" t="s">
        <v>195</v>
      </c>
      <c r="B276" s="1"/>
    </row>
    <row r="277" spans="1:5" hidden="1" x14ac:dyDescent="0.25">
      <c r="A277" s="1" t="s">
        <v>7</v>
      </c>
      <c r="B277" s="1"/>
    </row>
    <row r="278" spans="1:5" ht="15.75" hidden="1" thickBot="1" x14ac:dyDescent="0.3">
      <c r="A278" s="325" t="s">
        <v>274</v>
      </c>
      <c r="B278" s="325"/>
    </row>
    <row r="279" spans="1:5" hidden="1" x14ac:dyDescent="0.25">
      <c r="A279" s="238" t="s">
        <v>8</v>
      </c>
      <c r="B279" s="239" t="s">
        <v>9</v>
      </c>
      <c r="C279" s="239" t="s">
        <v>10</v>
      </c>
      <c r="D279" s="239" t="s">
        <v>11</v>
      </c>
      <c r="E279" s="241" t="s">
        <v>12</v>
      </c>
    </row>
    <row r="280" spans="1:5" hidden="1" x14ac:dyDescent="0.25">
      <c r="A280" s="303" t="s">
        <v>251</v>
      </c>
      <c r="B280" s="907" t="s">
        <v>256</v>
      </c>
      <c r="C280" s="904"/>
      <c r="D280" s="904"/>
      <c r="E280" s="906"/>
    </row>
    <row r="281" spans="1:5" hidden="1" x14ac:dyDescent="0.25">
      <c r="A281" s="248" t="s">
        <v>15</v>
      </c>
      <c r="B281" s="24" t="s">
        <v>109</v>
      </c>
      <c r="C281" s="144" t="s">
        <v>110</v>
      </c>
      <c r="D281" s="290" t="s">
        <v>111</v>
      </c>
      <c r="E281" s="299">
        <v>0.54</v>
      </c>
    </row>
    <row r="282" spans="1:5" hidden="1" x14ac:dyDescent="0.25">
      <c r="A282" s="248" t="s">
        <v>21</v>
      </c>
      <c r="B282" s="65" t="s">
        <v>112</v>
      </c>
      <c r="C282" s="144" t="s">
        <v>110</v>
      </c>
      <c r="D282" s="290" t="s">
        <v>275</v>
      </c>
      <c r="E282" s="283">
        <v>21.82</v>
      </c>
    </row>
    <row r="283" spans="1:5" hidden="1" x14ac:dyDescent="0.25">
      <c r="A283" s="300" t="s">
        <v>60</v>
      </c>
      <c r="B283" s="60" t="s">
        <v>113</v>
      </c>
      <c r="C283" s="11" t="s">
        <v>59</v>
      </c>
      <c r="D283" s="60"/>
      <c r="E283" s="250">
        <v>27.86</v>
      </c>
    </row>
    <row r="284" spans="1:5" hidden="1" x14ac:dyDescent="0.25">
      <c r="A284" s="300" t="s">
        <v>72</v>
      </c>
      <c r="B284" s="60" t="s">
        <v>114</v>
      </c>
      <c r="C284" s="144" t="s">
        <v>110</v>
      </c>
      <c r="D284" s="144" t="s">
        <v>188</v>
      </c>
      <c r="E284" s="249">
        <v>6.58</v>
      </c>
    </row>
    <row r="285" spans="1:5" hidden="1" x14ac:dyDescent="0.25">
      <c r="A285" s="300" t="s">
        <v>115</v>
      </c>
      <c r="B285" s="60" t="s">
        <v>116</v>
      </c>
      <c r="C285" s="144" t="s">
        <v>110</v>
      </c>
      <c r="D285" s="144" t="s">
        <v>188</v>
      </c>
      <c r="E285" s="301">
        <v>11.21</v>
      </c>
    </row>
    <row r="286" spans="1:5" hidden="1" x14ac:dyDescent="0.25">
      <c r="A286" s="256" t="s">
        <v>84</v>
      </c>
      <c r="B286" s="291" t="s">
        <v>117</v>
      </c>
      <c r="C286" s="144" t="s">
        <v>110</v>
      </c>
      <c r="D286" s="290" t="s">
        <v>121</v>
      </c>
      <c r="E286" s="257">
        <f>E281+E282</f>
        <v>22.36</v>
      </c>
    </row>
    <row r="287" spans="1:5" hidden="1" x14ac:dyDescent="0.25">
      <c r="A287" s="256" t="s">
        <v>85</v>
      </c>
      <c r="B287" s="291" t="s">
        <v>118</v>
      </c>
      <c r="C287" s="144" t="s">
        <v>110</v>
      </c>
      <c r="D287" s="65"/>
      <c r="E287" s="250">
        <f>E286*1.09</f>
        <v>24.372400000000003</v>
      </c>
    </row>
    <row r="288" spans="1:5" hidden="1" x14ac:dyDescent="0.25">
      <c r="A288" s="256" t="s">
        <v>87</v>
      </c>
      <c r="B288" s="291" t="s">
        <v>119</v>
      </c>
      <c r="C288" s="144" t="s">
        <v>110</v>
      </c>
      <c r="D288" s="65"/>
      <c r="E288" s="258">
        <v>22.52</v>
      </c>
    </row>
    <row r="289" spans="1:5" hidden="1" x14ac:dyDescent="0.25">
      <c r="A289" s="256" t="s">
        <v>89</v>
      </c>
      <c r="B289" s="292" t="s">
        <v>120</v>
      </c>
      <c r="C289" s="76" t="s">
        <v>95</v>
      </c>
      <c r="D289" s="65"/>
      <c r="E289" s="250">
        <f>(E286/E288)*100-100</f>
        <v>-0.71047957371224868</v>
      </c>
    </row>
    <row r="290" spans="1:5" hidden="1" x14ac:dyDescent="0.25">
      <c r="A290" s="302" t="s">
        <v>252</v>
      </c>
      <c r="B290" s="908" t="s">
        <v>249</v>
      </c>
      <c r="C290" s="890"/>
      <c r="D290" s="890"/>
      <c r="E290" s="892"/>
    </row>
    <row r="291" spans="1:5" hidden="1" x14ac:dyDescent="0.25">
      <c r="A291" s="248" t="s">
        <v>15</v>
      </c>
      <c r="B291" s="44" t="s">
        <v>109</v>
      </c>
      <c r="C291" s="287" t="s">
        <v>110</v>
      </c>
      <c r="D291" s="288" t="s">
        <v>111</v>
      </c>
      <c r="E291" s="289">
        <v>0.54</v>
      </c>
    </row>
    <row r="292" spans="1:5" hidden="1" x14ac:dyDescent="0.25">
      <c r="A292" s="244" t="s">
        <v>21</v>
      </c>
      <c r="B292" s="65" t="s">
        <v>112</v>
      </c>
      <c r="C292" s="61" t="s">
        <v>110</v>
      </c>
      <c r="D292" s="143" t="s">
        <v>276</v>
      </c>
      <c r="E292" s="283">
        <v>21.15</v>
      </c>
    </row>
    <row r="293" spans="1:5" hidden="1" x14ac:dyDescent="0.25">
      <c r="A293" s="256" t="s">
        <v>60</v>
      </c>
      <c r="B293" s="72" t="s">
        <v>117</v>
      </c>
      <c r="C293" s="64" t="s">
        <v>110</v>
      </c>
      <c r="D293" s="143" t="s">
        <v>121</v>
      </c>
      <c r="E293" s="257">
        <f>E291+E292</f>
        <v>21.689999999999998</v>
      </c>
    </row>
    <row r="294" spans="1:5" ht="15.75" hidden="1" thickBot="1" x14ac:dyDescent="0.3">
      <c r="A294" s="259" t="s">
        <v>72</v>
      </c>
      <c r="B294" s="284" t="s">
        <v>118</v>
      </c>
      <c r="C294" s="285" t="s">
        <v>110</v>
      </c>
      <c r="D294" s="262"/>
      <c r="E294" s="286">
        <f>E293*1.21</f>
        <v>26.244899999999998</v>
      </c>
    </row>
    <row r="295" spans="1:5" hidden="1" x14ac:dyDescent="0.25"/>
    <row r="296" spans="1:5" hidden="1" x14ac:dyDescent="0.25">
      <c r="B296" t="s">
        <v>189</v>
      </c>
      <c r="C296" t="s">
        <v>193</v>
      </c>
      <c r="D296" s="146" t="s">
        <v>190</v>
      </c>
    </row>
    <row r="297" spans="1:5" hidden="1" x14ac:dyDescent="0.25">
      <c r="D297" s="146"/>
    </row>
    <row r="298" spans="1:5" hidden="1" x14ac:dyDescent="0.25">
      <c r="A298" s="132" t="s">
        <v>0</v>
      </c>
      <c r="B298" s="132"/>
      <c r="E298" s="132" t="s">
        <v>186</v>
      </c>
    </row>
    <row r="299" spans="1:5" hidden="1" x14ac:dyDescent="0.25">
      <c r="A299" s="132" t="s">
        <v>1</v>
      </c>
      <c r="B299" s="132"/>
      <c r="D299" s="132" t="s">
        <v>178</v>
      </c>
    </row>
    <row r="300" spans="1:5" hidden="1" x14ac:dyDescent="0.25">
      <c r="A300" s="132" t="s">
        <v>2</v>
      </c>
      <c r="B300" s="132"/>
      <c r="D300" s="132" t="s">
        <v>167</v>
      </c>
    </row>
    <row r="301" spans="1:5" hidden="1" x14ac:dyDescent="0.25">
      <c r="A301" s="132" t="s">
        <v>3</v>
      </c>
      <c r="B301" s="132"/>
      <c r="D301" s="132" t="s">
        <v>168</v>
      </c>
    </row>
    <row r="302" spans="1:5" hidden="1" x14ac:dyDescent="0.25">
      <c r="A302" s="132" t="s">
        <v>4</v>
      </c>
      <c r="B302" s="132"/>
      <c r="D302" s="132" t="s">
        <v>169</v>
      </c>
    </row>
    <row r="303" spans="1:5" hidden="1" x14ac:dyDescent="0.25">
      <c r="A303" s="132" t="s">
        <v>5</v>
      </c>
      <c r="B303" s="132"/>
      <c r="D303" s="132" t="s">
        <v>170</v>
      </c>
    </row>
    <row r="304" spans="1:5" hidden="1" x14ac:dyDescent="0.25"/>
    <row r="305" spans="1:7" ht="15.75" hidden="1" x14ac:dyDescent="0.25">
      <c r="A305" s="141"/>
      <c r="B305" s="141" t="s">
        <v>280</v>
      </c>
      <c r="C305" s="141"/>
      <c r="D305" s="141"/>
      <c r="E305" s="141"/>
    </row>
    <row r="306" spans="1:7" hidden="1" x14ac:dyDescent="0.25">
      <c r="C306" s="322">
        <v>41754</v>
      </c>
      <c r="D306" s="142"/>
    </row>
    <row r="307" spans="1:7" hidden="1" x14ac:dyDescent="0.25">
      <c r="C307" s="147" t="s">
        <v>191</v>
      </c>
    </row>
    <row r="308" spans="1:7" hidden="1" x14ac:dyDescent="0.25">
      <c r="A308" s="2" t="s">
        <v>6</v>
      </c>
      <c r="B308" s="2"/>
    </row>
    <row r="309" spans="1:7" hidden="1" x14ac:dyDescent="0.25">
      <c r="A309" s="1" t="s">
        <v>195</v>
      </c>
      <c r="B309" s="1"/>
    </row>
    <row r="310" spans="1:7" hidden="1" x14ac:dyDescent="0.25">
      <c r="A310" s="1" t="s">
        <v>7</v>
      </c>
      <c r="B310" s="1"/>
    </row>
    <row r="311" spans="1:7" ht="15.75" hidden="1" thickBot="1" x14ac:dyDescent="0.3">
      <c r="A311" s="325" t="s">
        <v>274</v>
      </c>
      <c r="B311" s="325"/>
    </row>
    <row r="312" spans="1:7" hidden="1" x14ac:dyDescent="0.25">
      <c r="A312" s="238" t="s">
        <v>8</v>
      </c>
      <c r="B312" s="239" t="s">
        <v>9</v>
      </c>
      <c r="C312" s="239" t="s">
        <v>10</v>
      </c>
      <c r="D312" s="239" t="s">
        <v>11</v>
      </c>
      <c r="E312" s="241" t="s">
        <v>12</v>
      </c>
    </row>
    <row r="313" spans="1:7" hidden="1" x14ac:dyDescent="0.25">
      <c r="A313" s="303" t="s">
        <v>251</v>
      </c>
      <c r="B313" s="907" t="s">
        <v>256</v>
      </c>
      <c r="C313" s="904"/>
      <c r="D313" s="904"/>
      <c r="E313" s="906"/>
    </row>
    <row r="314" spans="1:7" hidden="1" x14ac:dyDescent="0.25">
      <c r="A314" s="248" t="s">
        <v>15</v>
      </c>
      <c r="B314" s="24" t="s">
        <v>109</v>
      </c>
      <c r="C314" s="144" t="s">
        <v>110</v>
      </c>
      <c r="D314" s="290" t="s">
        <v>111</v>
      </c>
      <c r="E314" s="299">
        <v>0.54</v>
      </c>
    </row>
    <row r="315" spans="1:7" hidden="1" x14ac:dyDescent="0.25">
      <c r="A315" s="248" t="s">
        <v>21</v>
      </c>
      <c r="B315" s="65" t="s">
        <v>112</v>
      </c>
      <c r="C315" s="144" t="s">
        <v>110</v>
      </c>
      <c r="D315" s="290" t="s">
        <v>275</v>
      </c>
      <c r="E315" s="283">
        <f>14.73+6.78+0.36</f>
        <v>21.87</v>
      </c>
      <c r="G315">
        <f>27.95/100*52.69</f>
        <v>14.726854999999999</v>
      </c>
    </row>
    <row r="316" spans="1:7" hidden="1" x14ac:dyDescent="0.25">
      <c r="A316" s="300" t="s">
        <v>60</v>
      </c>
      <c r="B316" s="60" t="s">
        <v>113</v>
      </c>
      <c r="C316" s="11" t="s">
        <v>59</v>
      </c>
      <c r="D316" s="60"/>
      <c r="E316" s="250">
        <f>'Silumos kaina'!E880</f>
        <v>27.950462077127657</v>
      </c>
      <c r="G316">
        <f>6.58*1.03</f>
        <v>6.7774000000000001</v>
      </c>
    </row>
    <row r="317" spans="1:7" hidden="1" x14ac:dyDescent="0.25">
      <c r="A317" s="300" t="s">
        <v>72</v>
      </c>
      <c r="B317" s="60" t="s">
        <v>114</v>
      </c>
      <c r="C317" s="144" t="s">
        <v>110</v>
      </c>
      <c r="D317" s="144" t="s">
        <v>188</v>
      </c>
      <c r="E317" s="249">
        <v>6.58</v>
      </c>
      <c r="G317">
        <f>11.21*0.032</f>
        <v>0.35872000000000004</v>
      </c>
    </row>
    <row r="318" spans="1:7" hidden="1" x14ac:dyDescent="0.25">
      <c r="A318" s="300" t="s">
        <v>115</v>
      </c>
      <c r="B318" s="60" t="s">
        <v>116</v>
      </c>
      <c r="C318" s="144" t="s">
        <v>110</v>
      </c>
      <c r="D318" s="144" t="s">
        <v>188</v>
      </c>
      <c r="E318" s="301">
        <v>11.21</v>
      </c>
      <c r="G318">
        <f>SUM(G315:G317)</f>
        <v>21.862975000000002</v>
      </c>
    </row>
    <row r="319" spans="1:7" hidden="1" x14ac:dyDescent="0.25">
      <c r="A319" s="256" t="s">
        <v>84</v>
      </c>
      <c r="B319" s="291" t="s">
        <v>117</v>
      </c>
      <c r="C319" s="144" t="s">
        <v>110</v>
      </c>
      <c r="D319" s="290" t="s">
        <v>121</v>
      </c>
      <c r="E319" s="257">
        <f>E314+E315</f>
        <v>22.41</v>
      </c>
    </row>
    <row r="320" spans="1:7" hidden="1" x14ac:dyDescent="0.25">
      <c r="A320" s="256" t="s">
        <v>85</v>
      </c>
      <c r="B320" s="291" t="s">
        <v>118</v>
      </c>
      <c r="C320" s="144" t="s">
        <v>110</v>
      </c>
      <c r="D320" s="65"/>
      <c r="E320" s="250">
        <f>E319*1.09</f>
        <v>24.426900000000003</v>
      </c>
    </row>
    <row r="321" spans="1:5" hidden="1" x14ac:dyDescent="0.25">
      <c r="A321" s="256" t="s">
        <v>87</v>
      </c>
      <c r="B321" s="291" t="s">
        <v>119</v>
      </c>
      <c r="C321" s="144" t="s">
        <v>110</v>
      </c>
      <c r="D321" s="65"/>
      <c r="E321" s="258">
        <v>22.52</v>
      </c>
    </row>
    <row r="322" spans="1:5" hidden="1" x14ac:dyDescent="0.25">
      <c r="A322" s="256" t="s">
        <v>89</v>
      </c>
      <c r="B322" s="292" t="s">
        <v>120</v>
      </c>
      <c r="C322" s="76" t="s">
        <v>95</v>
      </c>
      <c r="D322" s="65"/>
      <c r="E322" s="250">
        <f>(E319/E321)*100-100</f>
        <v>-0.48845470692717186</v>
      </c>
    </row>
    <row r="323" spans="1:5" hidden="1" x14ac:dyDescent="0.25">
      <c r="A323" s="302" t="s">
        <v>252</v>
      </c>
      <c r="B323" s="908" t="s">
        <v>249</v>
      </c>
      <c r="C323" s="890"/>
      <c r="D323" s="890"/>
      <c r="E323" s="892"/>
    </row>
    <row r="324" spans="1:5" hidden="1" x14ac:dyDescent="0.25">
      <c r="A324" s="248" t="s">
        <v>15</v>
      </c>
      <c r="B324" s="44" t="s">
        <v>109</v>
      </c>
      <c r="C324" s="287" t="s">
        <v>110</v>
      </c>
      <c r="D324" s="288" t="s">
        <v>111</v>
      </c>
      <c r="E324" s="289">
        <v>0.54</v>
      </c>
    </row>
    <row r="325" spans="1:5" hidden="1" x14ac:dyDescent="0.25">
      <c r="A325" s="244" t="s">
        <v>21</v>
      </c>
      <c r="B325" s="65" t="s">
        <v>112</v>
      </c>
      <c r="C325" s="61" t="s">
        <v>110</v>
      </c>
      <c r="D325" s="143" t="s">
        <v>276</v>
      </c>
      <c r="E325" s="283">
        <f>14.25+6.58+0.36</f>
        <v>21.189999999999998</v>
      </c>
    </row>
    <row r="326" spans="1:5" hidden="1" x14ac:dyDescent="0.25">
      <c r="A326" s="256" t="s">
        <v>60</v>
      </c>
      <c r="B326" s="72" t="s">
        <v>117</v>
      </c>
      <c r="C326" s="64" t="s">
        <v>110</v>
      </c>
      <c r="D326" s="143" t="s">
        <v>121</v>
      </c>
      <c r="E326" s="257">
        <f>E324+E325</f>
        <v>21.729999999999997</v>
      </c>
    </row>
    <row r="327" spans="1:5" ht="15.75" hidden="1" thickBot="1" x14ac:dyDescent="0.3">
      <c r="A327" s="259" t="s">
        <v>72</v>
      </c>
      <c r="B327" s="284" t="s">
        <v>118</v>
      </c>
      <c r="C327" s="285" t="s">
        <v>110</v>
      </c>
      <c r="D327" s="262"/>
      <c r="E327" s="286">
        <f>E326*1.21</f>
        <v>26.293299999999995</v>
      </c>
    </row>
    <row r="328" spans="1:5" hidden="1" x14ac:dyDescent="0.25"/>
    <row r="329" spans="1:5" hidden="1" x14ac:dyDescent="0.25">
      <c r="B329" t="s">
        <v>189</v>
      </c>
      <c r="C329" t="s">
        <v>193</v>
      </c>
      <c r="D329" s="146" t="s">
        <v>190</v>
      </c>
    </row>
    <row r="330" spans="1:5" hidden="1" x14ac:dyDescent="0.25">
      <c r="D330" s="146"/>
    </row>
    <row r="331" spans="1:5" hidden="1" x14ac:dyDescent="0.25">
      <c r="A331" s="132" t="s">
        <v>0</v>
      </c>
      <c r="B331" s="132"/>
      <c r="E331" s="132" t="s">
        <v>186</v>
      </c>
    </row>
    <row r="332" spans="1:5" hidden="1" x14ac:dyDescent="0.25">
      <c r="A332" s="132" t="s">
        <v>1</v>
      </c>
      <c r="B332" s="132"/>
      <c r="D332" s="132" t="s">
        <v>178</v>
      </c>
    </row>
    <row r="333" spans="1:5" hidden="1" x14ac:dyDescent="0.25">
      <c r="A333" s="132" t="s">
        <v>2</v>
      </c>
      <c r="B333" s="132"/>
      <c r="D333" s="132" t="s">
        <v>167</v>
      </c>
    </row>
    <row r="334" spans="1:5" hidden="1" x14ac:dyDescent="0.25">
      <c r="A334" s="132" t="s">
        <v>3</v>
      </c>
      <c r="B334" s="132"/>
      <c r="D334" s="132" t="s">
        <v>168</v>
      </c>
    </row>
    <row r="335" spans="1:5" hidden="1" x14ac:dyDescent="0.25">
      <c r="A335" s="132" t="s">
        <v>4</v>
      </c>
      <c r="B335" s="132"/>
      <c r="D335" s="132" t="s">
        <v>169</v>
      </c>
    </row>
    <row r="336" spans="1:5" hidden="1" x14ac:dyDescent="0.25">
      <c r="A336" s="132" t="s">
        <v>5</v>
      </c>
      <c r="B336" s="132"/>
      <c r="D336" s="132" t="s">
        <v>170</v>
      </c>
    </row>
    <row r="337" spans="1:7" hidden="1" x14ac:dyDescent="0.25"/>
    <row r="338" spans="1:7" ht="15.75" hidden="1" x14ac:dyDescent="0.25">
      <c r="A338" s="141"/>
      <c r="B338" s="141" t="s">
        <v>283</v>
      </c>
      <c r="C338" s="141"/>
      <c r="D338" s="141"/>
      <c r="E338" s="141"/>
    </row>
    <row r="339" spans="1:7" hidden="1" x14ac:dyDescent="0.25">
      <c r="C339" s="322">
        <v>41749</v>
      </c>
      <c r="D339" s="142"/>
    </row>
    <row r="340" spans="1:7" hidden="1" x14ac:dyDescent="0.25">
      <c r="C340" s="147" t="s">
        <v>191</v>
      </c>
    </row>
    <row r="341" spans="1:7" hidden="1" x14ac:dyDescent="0.25">
      <c r="A341" s="2" t="s">
        <v>6</v>
      </c>
      <c r="B341" s="2"/>
    </row>
    <row r="342" spans="1:7" hidden="1" x14ac:dyDescent="0.25">
      <c r="A342" s="1" t="s">
        <v>195</v>
      </c>
      <c r="B342" s="1"/>
    </row>
    <row r="343" spans="1:7" hidden="1" x14ac:dyDescent="0.25">
      <c r="A343" s="1" t="s">
        <v>7</v>
      </c>
      <c r="B343" s="1"/>
    </row>
    <row r="344" spans="1:7" ht="15.75" hidden="1" thickBot="1" x14ac:dyDescent="0.3">
      <c r="A344" s="325" t="s">
        <v>274</v>
      </c>
      <c r="B344" s="325"/>
    </row>
    <row r="345" spans="1:7" hidden="1" x14ac:dyDescent="0.25">
      <c r="A345" s="238" t="s">
        <v>8</v>
      </c>
      <c r="B345" s="239" t="s">
        <v>9</v>
      </c>
      <c r="C345" s="239" t="s">
        <v>10</v>
      </c>
      <c r="D345" s="239" t="s">
        <v>11</v>
      </c>
      <c r="E345" s="241" t="s">
        <v>12</v>
      </c>
    </row>
    <row r="346" spans="1:7" hidden="1" x14ac:dyDescent="0.25">
      <c r="A346" s="303" t="s">
        <v>251</v>
      </c>
      <c r="B346" s="907" t="s">
        <v>256</v>
      </c>
      <c r="C346" s="904"/>
      <c r="D346" s="904"/>
      <c r="E346" s="906"/>
    </row>
    <row r="347" spans="1:7" hidden="1" x14ac:dyDescent="0.25">
      <c r="A347" s="248" t="s">
        <v>15</v>
      </c>
      <c r="B347" s="24" t="s">
        <v>109</v>
      </c>
      <c r="C347" s="144" t="s">
        <v>110</v>
      </c>
      <c r="D347" s="290" t="s">
        <v>111</v>
      </c>
      <c r="E347" s="299">
        <v>0.54</v>
      </c>
    </row>
    <row r="348" spans="1:7" hidden="1" x14ac:dyDescent="0.25">
      <c r="A348" s="248" t="s">
        <v>21</v>
      </c>
      <c r="B348" s="65" t="s">
        <v>112</v>
      </c>
      <c r="C348" s="144" t="s">
        <v>110</v>
      </c>
      <c r="D348" s="290" t="s">
        <v>275</v>
      </c>
      <c r="E348" s="283">
        <f>14.63+6.78+0.36</f>
        <v>21.77</v>
      </c>
      <c r="G348">
        <f>27.95/100*52.69</f>
        <v>14.726854999999999</v>
      </c>
    </row>
    <row r="349" spans="1:7" hidden="1" x14ac:dyDescent="0.25">
      <c r="A349" s="300" t="s">
        <v>60</v>
      </c>
      <c r="B349" s="60" t="s">
        <v>113</v>
      </c>
      <c r="C349" s="11" t="s">
        <v>59</v>
      </c>
      <c r="D349" s="60"/>
      <c r="E349" s="250">
        <f>'Silumos kaina'!E971</f>
        <v>27.771551944148936</v>
      </c>
      <c r="G349">
        <f>6.58*1.03</f>
        <v>6.7774000000000001</v>
      </c>
    </row>
    <row r="350" spans="1:7" hidden="1" x14ac:dyDescent="0.25">
      <c r="A350" s="300" t="s">
        <v>72</v>
      </c>
      <c r="B350" s="60" t="s">
        <v>114</v>
      </c>
      <c r="C350" s="144" t="s">
        <v>110</v>
      </c>
      <c r="D350" s="144" t="s">
        <v>188</v>
      </c>
      <c r="E350" s="249">
        <v>6.58</v>
      </c>
      <c r="G350">
        <f>11.21*0.032</f>
        <v>0.35872000000000004</v>
      </c>
    </row>
    <row r="351" spans="1:7" hidden="1" x14ac:dyDescent="0.25">
      <c r="A351" s="300" t="s">
        <v>115</v>
      </c>
      <c r="B351" s="60" t="s">
        <v>116</v>
      </c>
      <c r="C351" s="144" t="s">
        <v>110</v>
      </c>
      <c r="D351" s="144" t="s">
        <v>188</v>
      </c>
      <c r="E351" s="301">
        <v>11.21</v>
      </c>
      <c r="G351">
        <f>SUM(G348:G350)</f>
        <v>21.862975000000002</v>
      </c>
    </row>
    <row r="352" spans="1:7" hidden="1" x14ac:dyDescent="0.25">
      <c r="A352" s="256" t="s">
        <v>84</v>
      </c>
      <c r="B352" s="291" t="s">
        <v>117</v>
      </c>
      <c r="C352" s="144" t="s">
        <v>110</v>
      </c>
      <c r="D352" s="290" t="s">
        <v>121</v>
      </c>
      <c r="E352" s="257">
        <f>E347+E348</f>
        <v>22.31</v>
      </c>
    </row>
    <row r="353" spans="1:5" hidden="1" x14ac:dyDescent="0.25">
      <c r="A353" s="256" t="s">
        <v>85</v>
      </c>
      <c r="B353" s="291" t="s">
        <v>118</v>
      </c>
      <c r="C353" s="144" t="s">
        <v>110</v>
      </c>
      <c r="D353" s="65"/>
      <c r="E353" s="250">
        <f>E352*1.09</f>
        <v>24.317900000000002</v>
      </c>
    </row>
    <row r="354" spans="1:5" hidden="1" x14ac:dyDescent="0.25">
      <c r="A354" s="256" t="s">
        <v>87</v>
      </c>
      <c r="B354" s="291" t="s">
        <v>119</v>
      </c>
      <c r="C354" s="144" t="s">
        <v>110</v>
      </c>
      <c r="D354" s="65"/>
      <c r="E354" s="258">
        <v>22.41</v>
      </c>
    </row>
    <row r="355" spans="1:5" hidden="1" x14ac:dyDescent="0.25">
      <c r="A355" s="256" t="s">
        <v>89</v>
      </c>
      <c r="B355" s="292" t="s">
        <v>120</v>
      </c>
      <c r="C355" s="76" t="s">
        <v>95</v>
      </c>
      <c r="D355" s="65"/>
      <c r="E355" s="250">
        <f>(E352/E354)*100-100</f>
        <v>-0.44622936189200857</v>
      </c>
    </row>
    <row r="356" spans="1:5" hidden="1" x14ac:dyDescent="0.25">
      <c r="A356" s="302" t="s">
        <v>252</v>
      </c>
      <c r="B356" s="908" t="s">
        <v>249</v>
      </c>
      <c r="C356" s="890"/>
      <c r="D356" s="890"/>
      <c r="E356" s="892"/>
    </row>
    <row r="357" spans="1:5" hidden="1" x14ac:dyDescent="0.25">
      <c r="A357" s="248" t="s">
        <v>15</v>
      </c>
      <c r="B357" s="44" t="s">
        <v>109</v>
      </c>
      <c r="C357" s="287" t="s">
        <v>110</v>
      </c>
      <c r="D357" s="288" t="s">
        <v>111</v>
      </c>
      <c r="E357" s="289">
        <v>0.54</v>
      </c>
    </row>
    <row r="358" spans="1:5" hidden="1" x14ac:dyDescent="0.25">
      <c r="A358" s="244" t="s">
        <v>21</v>
      </c>
      <c r="B358" s="65" t="s">
        <v>112</v>
      </c>
      <c r="C358" s="61" t="s">
        <v>110</v>
      </c>
      <c r="D358" s="143" t="s">
        <v>276</v>
      </c>
      <c r="E358" s="283">
        <f>14.16+6.58+0.36</f>
        <v>21.1</v>
      </c>
    </row>
    <row r="359" spans="1:5" hidden="1" x14ac:dyDescent="0.25">
      <c r="A359" s="256" t="s">
        <v>60</v>
      </c>
      <c r="B359" s="72" t="s">
        <v>117</v>
      </c>
      <c r="C359" s="64" t="s">
        <v>110</v>
      </c>
      <c r="D359" s="143" t="s">
        <v>121</v>
      </c>
      <c r="E359" s="257">
        <f>E357+E358</f>
        <v>21.64</v>
      </c>
    </row>
    <row r="360" spans="1:5" ht="15.75" hidden="1" thickBot="1" x14ac:dyDescent="0.3">
      <c r="A360" s="259" t="s">
        <v>72</v>
      </c>
      <c r="B360" s="284" t="s">
        <v>118</v>
      </c>
      <c r="C360" s="285" t="s">
        <v>110</v>
      </c>
      <c r="D360" s="262"/>
      <c r="E360" s="286">
        <f>E359*1.21</f>
        <v>26.1844</v>
      </c>
    </row>
    <row r="361" spans="1:5" hidden="1" x14ac:dyDescent="0.25"/>
    <row r="362" spans="1:5" hidden="1" x14ac:dyDescent="0.25">
      <c r="B362" t="s">
        <v>189</v>
      </c>
      <c r="C362" t="s">
        <v>193</v>
      </c>
      <c r="D362" s="146" t="s">
        <v>190</v>
      </c>
    </row>
    <row r="363" spans="1:5" hidden="1" x14ac:dyDescent="0.25">
      <c r="D363" s="146"/>
    </row>
    <row r="364" spans="1:5" hidden="1" x14ac:dyDescent="0.25">
      <c r="A364" s="132" t="s">
        <v>0</v>
      </c>
      <c r="B364" s="132"/>
      <c r="E364" s="132" t="s">
        <v>186</v>
      </c>
    </row>
    <row r="365" spans="1:5" hidden="1" x14ac:dyDescent="0.25">
      <c r="A365" s="132" t="s">
        <v>1</v>
      </c>
      <c r="B365" s="132"/>
      <c r="D365" s="132" t="s">
        <v>178</v>
      </c>
    </row>
    <row r="366" spans="1:5" hidden="1" x14ac:dyDescent="0.25">
      <c r="A366" s="132" t="s">
        <v>2</v>
      </c>
      <c r="B366" s="132"/>
      <c r="D366" s="132" t="s">
        <v>167</v>
      </c>
    </row>
    <row r="367" spans="1:5" hidden="1" x14ac:dyDescent="0.25">
      <c r="A367" s="132" t="s">
        <v>3</v>
      </c>
      <c r="B367" s="132"/>
      <c r="D367" s="132" t="s">
        <v>168</v>
      </c>
    </row>
    <row r="368" spans="1:5" hidden="1" x14ac:dyDescent="0.25">
      <c r="A368" s="132" t="s">
        <v>4</v>
      </c>
      <c r="B368" s="132"/>
      <c r="D368" s="132" t="s">
        <v>169</v>
      </c>
    </row>
    <row r="369" spans="1:5" hidden="1" x14ac:dyDescent="0.25">
      <c r="A369" s="132" t="s">
        <v>5</v>
      </c>
      <c r="B369" s="132"/>
      <c r="D369" s="132" t="s">
        <v>170</v>
      </c>
    </row>
    <row r="370" spans="1:5" hidden="1" x14ac:dyDescent="0.25"/>
    <row r="371" spans="1:5" ht="15.75" hidden="1" x14ac:dyDescent="0.25">
      <c r="A371" s="141"/>
      <c r="B371" s="141" t="s">
        <v>284</v>
      </c>
      <c r="C371" s="141"/>
      <c r="D371" s="141"/>
      <c r="E371" s="141"/>
    </row>
    <row r="372" spans="1:5" hidden="1" x14ac:dyDescent="0.25">
      <c r="C372" s="322">
        <v>41813</v>
      </c>
      <c r="D372" s="142"/>
    </row>
    <row r="373" spans="1:5" hidden="1" x14ac:dyDescent="0.25">
      <c r="C373" s="147" t="s">
        <v>191</v>
      </c>
    </row>
    <row r="374" spans="1:5" hidden="1" x14ac:dyDescent="0.25">
      <c r="A374" s="2" t="s">
        <v>6</v>
      </c>
      <c r="B374" s="2"/>
    </row>
    <row r="375" spans="1:5" hidden="1" x14ac:dyDescent="0.25">
      <c r="A375" s="1" t="s">
        <v>195</v>
      </c>
      <c r="B375" s="1"/>
    </row>
    <row r="376" spans="1:5" hidden="1" x14ac:dyDescent="0.25">
      <c r="A376" s="1" t="s">
        <v>7</v>
      </c>
      <c r="B376" s="1"/>
    </row>
    <row r="377" spans="1:5" ht="15.75" hidden="1" thickBot="1" x14ac:dyDescent="0.3">
      <c r="A377" s="325" t="s">
        <v>274</v>
      </c>
      <c r="B377" s="325"/>
    </row>
    <row r="378" spans="1:5" hidden="1" x14ac:dyDescent="0.25">
      <c r="A378" s="238" t="s">
        <v>8</v>
      </c>
      <c r="B378" s="239" t="s">
        <v>9</v>
      </c>
      <c r="C378" s="239" t="s">
        <v>10</v>
      </c>
      <c r="D378" s="239" t="s">
        <v>11</v>
      </c>
      <c r="E378" s="241" t="s">
        <v>12</v>
      </c>
    </row>
    <row r="379" spans="1:5" hidden="1" x14ac:dyDescent="0.25">
      <c r="A379" s="303" t="s">
        <v>251</v>
      </c>
      <c r="B379" s="907" t="s">
        <v>256</v>
      </c>
      <c r="C379" s="904"/>
      <c r="D379" s="904"/>
      <c r="E379" s="906"/>
    </row>
    <row r="380" spans="1:5" hidden="1" x14ac:dyDescent="0.25">
      <c r="A380" s="248" t="s">
        <v>15</v>
      </c>
      <c r="B380" s="24" t="s">
        <v>109</v>
      </c>
      <c r="C380" s="144" t="s">
        <v>110</v>
      </c>
      <c r="D380" s="290" t="s">
        <v>111</v>
      </c>
      <c r="E380" s="299">
        <v>0.54</v>
      </c>
    </row>
    <row r="381" spans="1:5" hidden="1" x14ac:dyDescent="0.25">
      <c r="A381" s="248" t="s">
        <v>21</v>
      </c>
      <c r="B381" s="65" t="s">
        <v>112</v>
      </c>
      <c r="C381" s="144" t="s">
        <v>110</v>
      </c>
      <c r="D381" s="290" t="s">
        <v>275</v>
      </c>
      <c r="E381" s="283">
        <f>13.28+6.78+0.36</f>
        <v>20.419999999999998</v>
      </c>
    </row>
    <row r="382" spans="1:5" hidden="1" x14ac:dyDescent="0.25">
      <c r="A382" s="300" t="s">
        <v>60</v>
      </c>
      <c r="B382" s="60" t="s">
        <v>113</v>
      </c>
      <c r="C382" s="11" t="s">
        <v>59</v>
      </c>
      <c r="D382" s="60"/>
      <c r="E382" s="250">
        <f>'Silumos kaina'!E1062</f>
        <v>25.202317337765958</v>
      </c>
    </row>
    <row r="383" spans="1:5" hidden="1" x14ac:dyDescent="0.25">
      <c r="A383" s="300" t="s">
        <v>72</v>
      </c>
      <c r="B383" s="60" t="s">
        <v>114</v>
      </c>
      <c r="C383" s="144" t="s">
        <v>110</v>
      </c>
      <c r="D383" s="144" t="s">
        <v>188</v>
      </c>
      <c r="E383" s="249">
        <v>6.58</v>
      </c>
    </row>
    <row r="384" spans="1:5" hidden="1" x14ac:dyDescent="0.25">
      <c r="A384" s="300" t="s">
        <v>115</v>
      </c>
      <c r="B384" s="60" t="s">
        <v>116</v>
      </c>
      <c r="C384" s="144" t="s">
        <v>110</v>
      </c>
      <c r="D384" s="144" t="s">
        <v>188</v>
      </c>
      <c r="E384" s="301">
        <v>11.21</v>
      </c>
    </row>
    <row r="385" spans="1:5" hidden="1" x14ac:dyDescent="0.25">
      <c r="A385" s="256" t="s">
        <v>84</v>
      </c>
      <c r="B385" s="291" t="s">
        <v>117</v>
      </c>
      <c r="C385" s="144" t="s">
        <v>110</v>
      </c>
      <c r="D385" s="290" t="s">
        <v>121</v>
      </c>
      <c r="E385" s="257">
        <f>E380+E381</f>
        <v>20.959999999999997</v>
      </c>
    </row>
    <row r="386" spans="1:5" hidden="1" x14ac:dyDescent="0.25">
      <c r="A386" s="256" t="s">
        <v>85</v>
      </c>
      <c r="B386" s="291" t="s">
        <v>118</v>
      </c>
      <c r="C386" s="144" t="s">
        <v>110</v>
      </c>
      <c r="D386" s="65"/>
      <c r="E386" s="250">
        <f>E385*1.09</f>
        <v>22.846399999999999</v>
      </c>
    </row>
    <row r="387" spans="1:5" hidden="1" x14ac:dyDescent="0.25">
      <c r="A387" s="256" t="s">
        <v>87</v>
      </c>
      <c r="B387" s="291" t="s">
        <v>119</v>
      </c>
      <c r="C387" s="144" t="s">
        <v>110</v>
      </c>
      <c r="D387" s="65"/>
      <c r="E387" s="258">
        <f>E352</f>
        <v>22.31</v>
      </c>
    </row>
    <row r="388" spans="1:5" hidden="1" x14ac:dyDescent="0.25">
      <c r="A388" s="256" t="s">
        <v>89</v>
      </c>
      <c r="B388" s="292" t="s">
        <v>120</v>
      </c>
      <c r="C388" s="76" t="s">
        <v>95</v>
      </c>
      <c r="D388" s="65"/>
      <c r="E388" s="250">
        <f>(E385/E387)*100-100</f>
        <v>-6.0510981622590805</v>
      </c>
    </row>
    <row r="389" spans="1:5" hidden="1" x14ac:dyDescent="0.25">
      <c r="A389" s="302" t="s">
        <v>252</v>
      </c>
      <c r="B389" s="908" t="s">
        <v>249</v>
      </c>
      <c r="C389" s="890"/>
      <c r="D389" s="890"/>
      <c r="E389" s="892"/>
    </row>
    <row r="390" spans="1:5" hidden="1" x14ac:dyDescent="0.25">
      <c r="A390" s="248" t="s">
        <v>15</v>
      </c>
      <c r="B390" s="44" t="s">
        <v>109</v>
      </c>
      <c r="C390" s="287" t="s">
        <v>110</v>
      </c>
      <c r="D390" s="288" t="s">
        <v>111</v>
      </c>
      <c r="E390" s="289">
        <v>0.54</v>
      </c>
    </row>
    <row r="391" spans="1:5" hidden="1" x14ac:dyDescent="0.25">
      <c r="A391" s="244" t="s">
        <v>21</v>
      </c>
      <c r="B391" s="65" t="s">
        <v>112</v>
      </c>
      <c r="C391" s="61" t="s">
        <v>110</v>
      </c>
      <c r="D391" s="143" t="s">
        <v>276</v>
      </c>
      <c r="E391" s="283">
        <f>12.85+6.58+0.36</f>
        <v>19.79</v>
      </c>
    </row>
    <row r="392" spans="1:5" hidden="1" x14ac:dyDescent="0.25">
      <c r="A392" s="256" t="s">
        <v>60</v>
      </c>
      <c r="B392" s="72" t="s">
        <v>117</v>
      </c>
      <c r="C392" s="64" t="s">
        <v>110</v>
      </c>
      <c r="D392" s="143" t="s">
        <v>121</v>
      </c>
      <c r="E392" s="257">
        <f>E390+E391</f>
        <v>20.329999999999998</v>
      </c>
    </row>
    <row r="393" spans="1:5" ht="15.75" hidden="1" thickBot="1" x14ac:dyDescent="0.3">
      <c r="A393" s="259" t="s">
        <v>72</v>
      </c>
      <c r="B393" s="284" t="s">
        <v>118</v>
      </c>
      <c r="C393" s="285" t="s">
        <v>110</v>
      </c>
      <c r="D393" s="262"/>
      <c r="E393" s="286">
        <f>E392*1.21</f>
        <v>24.599299999999996</v>
      </c>
    </row>
    <row r="394" spans="1:5" hidden="1" x14ac:dyDescent="0.25"/>
    <row r="395" spans="1:5" hidden="1" x14ac:dyDescent="0.25">
      <c r="B395" t="s">
        <v>189</v>
      </c>
      <c r="C395" t="s">
        <v>193</v>
      </c>
      <c r="D395" s="146" t="s">
        <v>190</v>
      </c>
    </row>
    <row r="396" spans="1:5" hidden="1" x14ac:dyDescent="0.25">
      <c r="D396" s="146"/>
    </row>
    <row r="397" spans="1:5" hidden="1" x14ac:dyDescent="0.25">
      <c r="A397" s="132" t="s">
        <v>0</v>
      </c>
      <c r="B397" s="132"/>
      <c r="E397" s="132" t="s">
        <v>186</v>
      </c>
    </row>
    <row r="398" spans="1:5" hidden="1" x14ac:dyDescent="0.25">
      <c r="A398" s="132" t="s">
        <v>1</v>
      </c>
      <c r="B398" s="132"/>
      <c r="D398" s="132" t="s">
        <v>178</v>
      </c>
    </row>
    <row r="399" spans="1:5" hidden="1" x14ac:dyDescent="0.25">
      <c r="A399" s="132" t="s">
        <v>2</v>
      </c>
      <c r="B399" s="132"/>
      <c r="D399" s="132" t="s">
        <v>167</v>
      </c>
    </row>
    <row r="400" spans="1:5" hidden="1" x14ac:dyDescent="0.25">
      <c r="A400" s="132" t="s">
        <v>3</v>
      </c>
      <c r="B400" s="132"/>
      <c r="D400" s="132" t="s">
        <v>168</v>
      </c>
    </row>
    <row r="401" spans="1:5" hidden="1" x14ac:dyDescent="0.25">
      <c r="A401" s="132" t="s">
        <v>4</v>
      </c>
      <c r="B401" s="132"/>
      <c r="D401" s="132" t="s">
        <v>169</v>
      </c>
    </row>
    <row r="402" spans="1:5" hidden="1" x14ac:dyDescent="0.25">
      <c r="A402" s="132" t="s">
        <v>5</v>
      </c>
      <c r="B402" s="132"/>
      <c r="D402" s="132" t="s">
        <v>170</v>
      </c>
    </row>
    <row r="403" spans="1:5" hidden="1" x14ac:dyDescent="0.25"/>
    <row r="404" spans="1:5" ht="15.75" hidden="1" x14ac:dyDescent="0.25">
      <c r="A404" s="141"/>
      <c r="B404" s="141" t="s">
        <v>287</v>
      </c>
      <c r="C404" s="141"/>
      <c r="D404" s="141"/>
      <c r="E404" s="141"/>
    </row>
    <row r="405" spans="1:5" hidden="1" x14ac:dyDescent="0.25">
      <c r="C405" s="322">
        <v>41838</v>
      </c>
      <c r="D405" s="142"/>
    </row>
    <row r="406" spans="1:5" hidden="1" x14ac:dyDescent="0.25">
      <c r="C406" s="147" t="s">
        <v>191</v>
      </c>
    </row>
    <row r="407" spans="1:5" hidden="1" x14ac:dyDescent="0.25">
      <c r="A407" s="2" t="s">
        <v>6</v>
      </c>
      <c r="B407" s="2"/>
    </row>
    <row r="408" spans="1:5" hidden="1" x14ac:dyDescent="0.25">
      <c r="A408" s="1" t="s">
        <v>195</v>
      </c>
      <c r="B408" s="1"/>
    </row>
    <row r="409" spans="1:5" hidden="1" x14ac:dyDescent="0.25">
      <c r="A409" s="1" t="s">
        <v>7</v>
      </c>
      <c r="B409" s="1"/>
    </row>
    <row r="410" spans="1:5" ht="15.75" hidden="1" thickBot="1" x14ac:dyDescent="0.3">
      <c r="A410" s="325" t="s">
        <v>288</v>
      </c>
      <c r="B410" s="325"/>
    </row>
    <row r="411" spans="1:5" hidden="1" x14ac:dyDescent="0.25">
      <c r="A411" s="238" t="s">
        <v>8</v>
      </c>
      <c r="B411" s="239" t="s">
        <v>9</v>
      </c>
      <c r="C411" s="239" t="s">
        <v>10</v>
      </c>
      <c r="D411" s="239" t="s">
        <v>11</v>
      </c>
      <c r="E411" s="241" t="s">
        <v>12</v>
      </c>
    </row>
    <row r="412" spans="1:5" hidden="1" x14ac:dyDescent="0.25">
      <c r="A412" s="303" t="s">
        <v>251</v>
      </c>
      <c r="B412" s="907" t="s">
        <v>256</v>
      </c>
      <c r="C412" s="904"/>
      <c r="D412" s="904"/>
      <c r="E412" s="906"/>
    </row>
    <row r="413" spans="1:5" hidden="1" x14ac:dyDescent="0.25">
      <c r="A413" s="248" t="s">
        <v>15</v>
      </c>
      <c r="B413" s="24" t="s">
        <v>109</v>
      </c>
      <c r="C413" s="144" t="s">
        <v>110</v>
      </c>
      <c r="D413" s="290" t="s">
        <v>111</v>
      </c>
      <c r="E413" s="299">
        <v>0.54</v>
      </c>
    </row>
    <row r="414" spans="1:5" hidden="1" x14ac:dyDescent="0.25">
      <c r="A414" s="248" t="s">
        <v>21</v>
      </c>
      <c r="B414" s="65" t="s">
        <v>112</v>
      </c>
      <c r="C414" s="144" t="s">
        <v>110</v>
      </c>
      <c r="D414" s="290" t="s">
        <v>275</v>
      </c>
      <c r="E414" s="283">
        <f>13.26+10.03+0.42</f>
        <v>23.71</v>
      </c>
    </row>
    <row r="415" spans="1:5" hidden="1" x14ac:dyDescent="0.25">
      <c r="A415" s="300" t="s">
        <v>60</v>
      </c>
      <c r="B415" s="60" t="s">
        <v>113</v>
      </c>
      <c r="C415" s="11" t="s">
        <v>59</v>
      </c>
      <c r="D415" s="60"/>
      <c r="E415" s="250">
        <v>25.16</v>
      </c>
    </row>
    <row r="416" spans="1:5" hidden="1" x14ac:dyDescent="0.25">
      <c r="A416" s="300" t="s">
        <v>72</v>
      </c>
      <c r="B416" s="60" t="s">
        <v>114</v>
      </c>
      <c r="C416" s="144" t="s">
        <v>110</v>
      </c>
      <c r="D416" s="144" t="s">
        <v>188</v>
      </c>
      <c r="E416" s="249">
        <v>9.74</v>
      </c>
    </row>
    <row r="417" spans="1:5" hidden="1" x14ac:dyDescent="0.25">
      <c r="A417" s="300" t="s">
        <v>115</v>
      </c>
      <c r="B417" s="60" t="s">
        <v>116</v>
      </c>
      <c r="C417" s="144" t="s">
        <v>110</v>
      </c>
      <c r="D417" s="144" t="s">
        <v>188</v>
      </c>
      <c r="E417" s="301">
        <v>13.05</v>
      </c>
    </row>
    <row r="418" spans="1:5" hidden="1" x14ac:dyDescent="0.25">
      <c r="A418" s="256" t="s">
        <v>84</v>
      </c>
      <c r="B418" s="291" t="s">
        <v>117</v>
      </c>
      <c r="C418" s="144" t="s">
        <v>110</v>
      </c>
      <c r="D418" s="290" t="s">
        <v>121</v>
      </c>
      <c r="E418" s="257">
        <f>E413+E414</f>
        <v>24.25</v>
      </c>
    </row>
    <row r="419" spans="1:5" hidden="1" x14ac:dyDescent="0.25">
      <c r="A419" s="256" t="s">
        <v>85</v>
      </c>
      <c r="B419" s="291" t="s">
        <v>118</v>
      </c>
      <c r="C419" s="144" t="s">
        <v>110</v>
      </c>
      <c r="D419" s="65"/>
      <c r="E419" s="250">
        <f>E418*1.09</f>
        <v>26.432500000000001</v>
      </c>
    </row>
    <row r="420" spans="1:5" hidden="1" x14ac:dyDescent="0.25">
      <c r="A420" s="256" t="s">
        <v>87</v>
      </c>
      <c r="B420" s="291" t="s">
        <v>119</v>
      </c>
      <c r="C420" s="144" t="s">
        <v>110</v>
      </c>
      <c r="D420" s="65"/>
      <c r="E420" s="258">
        <f>E385</f>
        <v>20.959999999999997</v>
      </c>
    </row>
    <row r="421" spans="1:5" hidden="1" x14ac:dyDescent="0.25">
      <c r="A421" s="256" t="s">
        <v>89</v>
      </c>
      <c r="B421" s="292" t="s">
        <v>120</v>
      </c>
      <c r="C421" s="76" t="s">
        <v>95</v>
      </c>
      <c r="D421" s="65"/>
      <c r="E421" s="250">
        <f>(E418/E420)*100-100</f>
        <v>15.696564885496201</v>
      </c>
    </row>
    <row r="422" spans="1:5" hidden="1" x14ac:dyDescent="0.25">
      <c r="A422" s="302" t="s">
        <v>252</v>
      </c>
      <c r="B422" s="908" t="s">
        <v>249</v>
      </c>
      <c r="C422" s="890"/>
      <c r="D422" s="890"/>
      <c r="E422" s="892"/>
    </row>
    <row r="423" spans="1:5" hidden="1" x14ac:dyDescent="0.25">
      <c r="A423" s="248" t="s">
        <v>15</v>
      </c>
      <c r="B423" s="44" t="s">
        <v>109</v>
      </c>
      <c r="C423" s="287" t="s">
        <v>110</v>
      </c>
      <c r="D423" s="288" t="s">
        <v>111</v>
      </c>
      <c r="E423" s="289">
        <v>0.54</v>
      </c>
    </row>
    <row r="424" spans="1:5" hidden="1" x14ac:dyDescent="0.25">
      <c r="A424" s="244" t="s">
        <v>21</v>
      </c>
      <c r="B424" s="65" t="s">
        <v>112</v>
      </c>
      <c r="C424" s="61" t="s">
        <v>110</v>
      </c>
      <c r="D424" s="143" t="s">
        <v>276</v>
      </c>
      <c r="E424" s="283">
        <f>12.83+9.74+0.42</f>
        <v>22.990000000000002</v>
      </c>
    </row>
    <row r="425" spans="1:5" hidden="1" x14ac:dyDescent="0.25">
      <c r="A425" s="256" t="s">
        <v>60</v>
      </c>
      <c r="B425" s="72" t="s">
        <v>117</v>
      </c>
      <c r="C425" s="64" t="s">
        <v>110</v>
      </c>
      <c r="D425" s="143" t="s">
        <v>121</v>
      </c>
      <c r="E425" s="257">
        <f>E423+E424</f>
        <v>23.53</v>
      </c>
    </row>
    <row r="426" spans="1:5" ht="15.75" hidden="1" thickBot="1" x14ac:dyDescent="0.3">
      <c r="A426" s="259" t="s">
        <v>72</v>
      </c>
      <c r="B426" s="284" t="s">
        <v>118</v>
      </c>
      <c r="C426" s="285" t="s">
        <v>110</v>
      </c>
      <c r="D426" s="262"/>
      <c r="E426" s="286">
        <f>E425*1.21</f>
        <v>28.471299999999999</v>
      </c>
    </row>
    <row r="427" spans="1:5" hidden="1" x14ac:dyDescent="0.25"/>
    <row r="428" spans="1:5" hidden="1" x14ac:dyDescent="0.25">
      <c r="B428" t="s">
        <v>189</v>
      </c>
      <c r="C428" t="s">
        <v>193</v>
      </c>
      <c r="D428" s="146" t="s">
        <v>190</v>
      </c>
    </row>
    <row r="429" spans="1:5" hidden="1" x14ac:dyDescent="0.25">
      <c r="D429" s="146"/>
    </row>
    <row r="430" spans="1:5" ht="7.5" hidden="1" customHeight="1" x14ac:dyDescent="0.25">
      <c r="D430" s="146"/>
    </row>
    <row r="431" spans="1:5" ht="10.5" hidden="1" customHeight="1" x14ac:dyDescent="0.25">
      <c r="A431" s="132" t="s">
        <v>0</v>
      </c>
      <c r="B431" s="132"/>
      <c r="E431" s="132" t="s">
        <v>186</v>
      </c>
    </row>
    <row r="432" spans="1:5" ht="10.5" hidden="1" customHeight="1" x14ac:dyDescent="0.25">
      <c r="A432" s="132" t="s">
        <v>1</v>
      </c>
      <c r="B432" s="132"/>
      <c r="D432" s="132" t="s">
        <v>178</v>
      </c>
    </row>
    <row r="433" spans="1:5" ht="10.5" hidden="1" customHeight="1" x14ac:dyDescent="0.25">
      <c r="A433" s="132" t="s">
        <v>2</v>
      </c>
      <c r="B433" s="132"/>
      <c r="D433" s="132" t="s">
        <v>167</v>
      </c>
    </row>
    <row r="434" spans="1:5" ht="10.5" hidden="1" customHeight="1" x14ac:dyDescent="0.25">
      <c r="A434" s="132" t="s">
        <v>3</v>
      </c>
      <c r="B434" s="132"/>
      <c r="D434" s="132" t="s">
        <v>168</v>
      </c>
    </row>
    <row r="435" spans="1:5" ht="10.5" hidden="1" customHeight="1" x14ac:dyDescent="0.25">
      <c r="A435" s="132" t="s">
        <v>4</v>
      </c>
      <c r="B435" s="132"/>
      <c r="D435" s="132" t="s">
        <v>169</v>
      </c>
    </row>
    <row r="436" spans="1:5" ht="10.5" hidden="1" customHeight="1" x14ac:dyDescent="0.25">
      <c r="A436" s="132" t="s">
        <v>5</v>
      </c>
      <c r="B436" s="132"/>
      <c r="D436" s="132" t="s">
        <v>170</v>
      </c>
    </row>
    <row r="437" spans="1:5" ht="12.75" hidden="1" customHeight="1" x14ac:dyDescent="0.25"/>
    <row r="438" spans="1:5" ht="12.75" hidden="1" customHeight="1" x14ac:dyDescent="0.25">
      <c r="A438" s="141"/>
      <c r="B438" s="141" t="s">
        <v>290</v>
      </c>
      <c r="C438" s="141"/>
      <c r="D438" s="141"/>
      <c r="E438" s="141"/>
    </row>
    <row r="439" spans="1:5" ht="10.5" hidden="1" customHeight="1" x14ac:dyDescent="0.25">
      <c r="C439" s="322">
        <v>41872</v>
      </c>
      <c r="D439" s="142"/>
    </row>
    <row r="440" spans="1:5" ht="10.5" hidden="1" customHeight="1" x14ac:dyDescent="0.25">
      <c r="C440" s="147" t="s">
        <v>191</v>
      </c>
    </row>
    <row r="441" spans="1:5" ht="10.5" hidden="1" customHeight="1" x14ac:dyDescent="0.25">
      <c r="A441" s="2" t="s">
        <v>6</v>
      </c>
      <c r="B441" s="2"/>
    </row>
    <row r="442" spans="1:5" ht="10.5" hidden="1" customHeight="1" x14ac:dyDescent="0.25">
      <c r="A442" s="1" t="s">
        <v>195</v>
      </c>
      <c r="B442" s="1"/>
    </row>
    <row r="443" spans="1:5" ht="10.5" hidden="1" customHeight="1" x14ac:dyDescent="0.25">
      <c r="A443" s="1" t="s">
        <v>7</v>
      </c>
      <c r="B443" s="1"/>
    </row>
    <row r="444" spans="1:5" ht="15.75" hidden="1" thickBot="1" x14ac:dyDescent="0.3">
      <c r="A444" s="325" t="s">
        <v>288</v>
      </c>
      <c r="B444" s="325"/>
    </row>
    <row r="445" spans="1:5" hidden="1" x14ac:dyDescent="0.25">
      <c r="A445" s="238" t="s">
        <v>8</v>
      </c>
      <c r="B445" s="239" t="s">
        <v>9</v>
      </c>
      <c r="C445" s="239" t="s">
        <v>10</v>
      </c>
      <c r="D445" s="239" t="s">
        <v>11</v>
      </c>
      <c r="E445" s="241" t="s">
        <v>12</v>
      </c>
    </row>
    <row r="446" spans="1:5" ht="13.5" hidden="1" customHeight="1" x14ac:dyDescent="0.25">
      <c r="A446" s="385" t="s">
        <v>251</v>
      </c>
      <c r="B446" s="903" t="s">
        <v>256</v>
      </c>
      <c r="C446" s="904"/>
      <c r="D446" s="905"/>
      <c r="E446" s="906"/>
    </row>
    <row r="447" spans="1:5" ht="12" hidden="1" customHeight="1" x14ac:dyDescent="0.25">
      <c r="A447" s="901" t="s">
        <v>15</v>
      </c>
      <c r="B447" s="895" t="s">
        <v>109</v>
      </c>
      <c r="C447" s="396" t="s">
        <v>110</v>
      </c>
      <c r="D447" s="883" t="s">
        <v>111</v>
      </c>
      <c r="E447" s="398">
        <v>0.54</v>
      </c>
    </row>
    <row r="448" spans="1:5" ht="12" hidden="1" customHeight="1" x14ac:dyDescent="0.25">
      <c r="A448" s="902"/>
      <c r="B448" s="896"/>
      <c r="C448" s="397" t="s">
        <v>293</v>
      </c>
      <c r="D448" s="884"/>
      <c r="E448" s="399">
        <f>E447/3.4528</f>
        <v>0.15639481000926786</v>
      </c>
    </row>
    <row r="449" spans="1:6" ht="12" hidden="1" customHeight="1" x14ac:dyDescent="0.25">
      <c r="A449" s="901" t="s">
        <v>21</v>
      </c>
      <c r="B449" s="897" t="s">
        <v>112</v>
      </c>
      <c r="C449" s="396" t="s">
        <v>110</v>
      </c>
      <c r="D449" s="883" t="s">
        <v>275</v>
      </c>
      <c r="E449" s="400">
        <f>13.43+10.03+0.42</f>
        <v>23.880000000000003</v>
      </c>
    </row>
    <row r="450" spans="1:6" ht="12" hidden="1" customHeight="1" x14ac:dyDescent="0.25">
      <c r="A450" s="902"/>
      <c r="B450" s="898"/>
      <c r="C450" s="397" t="s">
        <v>293</v>
      </c>
      <c r="D450" s="884"/>
      <c r="E450" s="390">
        <f>E449/3.4528</f>
        <v>6.9161260426320679</v>
      </c>
    </row>
    <row r="451" spans="1:6" ht="12" hidden="1" customHeight="1" x14ac:dyDescent="0.25">
      <c r="A451" s="386" t="s">
        <v>60</v>
      </c>
      <c r="B451" s="387" t="s">
        <v>113</v>
      </c>
      <c r="C451" s="11" t="s">
        <v>59</v>
      </c>
      <c r="D451" s="387"/>
      <c r="E451" s="250">
        <v>25.48</v>
      </c>
    </row>
    <row r="452" spans="1:6" ht="12" hidden="1" customHeight="1" x14ac:dyDescent="0.25">
      <c r="A452" s="300" t="s">
        <v>72</v>
      </c>
      <c r="B452" s="60" t="s">
        <v>114</v>
      </c>
      <c r="C452" s="144" t="s">
        <v>110</v>
      </c>
      <c r="D452" s="144" t="s">
        <v>188</v>
      </c>
      <c r="E452" s="249">
        <v>9.74</v>
      </c>
    </row>
    <row r="453" spans="1:6" ht="12" hidden="1" customHeight="1" x14ac:dyDescent="0.25">
      <c r="A453" s="392" t="s">
        <v>115</v>
      </c>
      <c r="B453" s="393" t="s">
        <v>116</v>
      </c>
      <c r="C453" s="144" t="s">
        <v>110</v>
      </c>
      <c r="D453" s="402" t="s">
        <v>188</v>
      </c>
      <c r="E453" s="301">
        <v>13.05</v>
      </c>
    </row>
    <row r="454" spans="1:6" ht="12" hidden="1" customHeight="1" x14ac:dyDescent="0.25">
      <c r="A454" s="899" t="s">
        <v>84</v>
      </c>
      <c r="B454" s="881" t="s">
        <v>117</v>
      </c>
      <c r="C454" s="396" t="s">
        <v>110</v>
      </c>
      <c r="D454" s="883" t="s">
        <v>121</v>
      </c>
      <c r="E454" s="401">
        <f>E447+E449</f>
        <v>24.42</v>
      </c>
      <c r="F454" s="266">
        <f>E454/3.4528</f>
        <v>7.0725208526413352</v>
      </c>
    </row>
    <row r="455" spans="1:6" ht="12" hidden="1" customHeight="1" x14ac:dyDescent="0.25">
      <c r="A455" s="900"/>
      <c r="B455" s="882"/>
      <c r="C455" s="397" t="s">
        <v>293</v>
      </c>
      <c r="D455" s="884"/>
      <c r="E455" s="403">
        <f>E454/3.4528</f>
        <v>7.0725208526413352</v>
      </c>
      <c r="F455" s="266"/>
    </row>
    <row r="456" spans="1:6" ht="12" hidden="1" customHeight="1" x14ac:dyDescent="0.25">
      <c r="A456" s="899" t="s">
        <v>85</v>
      </c>
      <c r="B456" s="886" t="s">
        <v>118</v>
      </c>
      <c r="C456" s="396" t="s">
        <v>110</v>
      </c>
      <c r="D456" s="388"/>
      <c r="E456" s="404">
        <f>E454*1.09</f>
        <v>26.617800000000003</v>
      </c>
      <c r="F456" s="266">
        <f>E456/3.4528</f>
        <v>7.7090477293790558</v>
      </c>
    </row>
    <row r="457" spans="1:6" ht="12" hidden="1" customHeight="1" x14ac:dyDescent="0.25">
      <c r="A457" s="900"/>
      <c r="B457" s="888"/>
      <c r="C457" s="397" t="s">
        <v>293</v>
      </c>
      <c r="D457" s="389"/>
      <c r="E457" s="399">
        <f>E456/3.4528</f>
        <v>7.7090477293790558</v>
      </c>
      <c r="F457" s="266"/>
    </row>
    <row r="458" spans="1:6" ht="12" hidden="1" customHeight="1" x14ac:dyDescent="0.25">
      <c r="A458" s="394" t="s">
        <v>87</v>
      </c>
      <c r="B458" s="395" t="s">
        <v>119</v>
      </c>
      <c r="C458" s="144" t="s">
        <v>110</v>
      </c>
      <c r="D458" s="389"/>
      <c r="E458" s="258">
        <f>E418</f>
        <v>24.25</v>
      </c>
      <c r="F458" s="266">
        <f>E458/3.4528</f>
        <v>7.0232854494902694</v>
      </c>
    </row>
    <row r="459" spans="1:6" ht="12" hidden="1" customHeight="1" x14ac:dyDescent="0.25">
      <c r="A459" s="256" t="s">
        <v>89</v>
      </c>
      <c r="B459" s="292" t="s">
        <v>120</v>
      </c>
      <c r="C459" s="76" t="s">
        <v>95</v>
      </c>
      <c r="D459" s="65"/>
      <c r="E459" s="250">
        <f>(E454/E458)*100-100</f>
        <v>0.70103092783506327</v>
      </c>
    </row>
    <row r="460" spans="1:6" ht="12" hidden="1" customHeight="1" x14ac:dyDescent="0.25">
      <c r="A460" s="302" t="s">
        <v>252</v>
      </c>
      <c r="B460" s="889" t="s">
        <v>249</v>
      </c>
      <c r="C460" s="890"/>
      <c r="D460" s="891"/>
      <c r="E460" s="892"/>
    </row>
    <row r="461" spans="1:6" ht="12" hidden="1" customHeight="1" x14ac:dyDescent="0.25">
      <c r="A461" s="901" t="s">
        <v>15</v>
      </c>
      <c r="B461" s="895" t="s">
        <v>109</v>
      </c>
      <c r="C461" s="287" t="s">
        <v>110</v>
      </c>
      <c r="D461" s="883" t="s">
        <v>111</v>
      </c>
      <c r="E461" s="406">
        <v>0.54</v>
      </c>
    </row>
    <row r="462" spans="1:6" ht="12" hidden="1" customHeight="1" x14ac:dyDescent="0.25">
      <c r="A462" s="902"/>
      <c r="B462" s="896"/>
      <c r="C462" s="397" t="s">
        <v>293</v>
      </c>
      <c r="D462" s="884"/>
      <c r="E462" s="399">
        <f>E461/3.4528</f>
        <v>0.15639481000926786</v>
      </c>
    </row>
    <row r="463" spans="1:6" ht="12" hidden="1" customHeight="1" x14ac:dyDescent="0.25">
      <c r="A463" s="901" t="s">
        <v>21</v>
      </c>
      <c r="B463" s="897" t="s">
        <v>112</v>
      </c>
      <c r="C463" s="61" t="s">
        <v>110</v>
      </c>
      <c r="D463" s="883" t="s">
        <v>276</v>
      </c>
      <c r="E463" s="400">
        <f>12.99+9.74+0.42</f>
        <v>23.150000000000002</v>
      </c>
    </row>
    <row r="464" spans="1:6" ht="12" hidden="1" customHeight="1" x14ac:dyDescent="0.25">
      <c r="A464" s="902"/>
      <c r="B464" s="898"/>
      <c r="C464" s="397" t="s">
        <v>293</v>
      </c>
      <c r="D464" s="884"/>
      <c r="E464" s="399">
        <f>E463/3.4528</f>
        <v>6.7047034291010199</v>
      </c>
    </row>
    <row r="465" spans="1:6" ht="12" hidden="1" customHeight="1" x14ac:dyDescent="0.25">
      <c r="A465" s="899" t="s">
        <v>60</v>
      </c>
      <c r="B465" s="881" t="s">
        <v>117</v>
      </c>
      <c r="C465" s="405" t="s">
        <v>110</v>
      </c>
      <c r="D465" s="883" t="s">
        <v>121</v>
      </c>
      <c r="E465" s="401">
        <f>E461+E463</f>
        <v>23.69</v>
      </c>
      <c r="F465" s="266">
        <f>E465/3.4528</f>
        <v>6.8610982391102882</v>
      </c>
    </row>
    <row r="466" spans="1:6" ht="12" hidden="1" customHeight="1" x14ac:dyDescent="0.25">
      <c r="A466" s="900"/>
      <c r="B466" s="882"/>
      <c r="C466" s="397" t="s">
        <v>293</v>
      </c>
      <c r="D466" s="884"/>
      <c r="E466" s="399">
        <f>E465/3.4528</f>
        <v>6.8610982391102882</v>
      </c>
      <c r="F466" s="266"/>
    </row>
    <row r="467" spans="1:6" ht="12.75" hidden="1" customHeight="1" x14ac:dyDescent="0.25">
      <c r="A467" s="899" t="s">
        <v>72</v>
      </c>
      <c r="B467" s="886" t="s">
        <v>118</v>
      </c>
      <c r="C467" s="61" t="s">
        <v>110</v>
      </c>
      <c r="D467" s="407"/>
      <c r="E467" s="232">
        <f>E465*1.21</f>
        <v>28.664899999999999</v>
      </c>
      <c r="F467" s="266">
        <f>E467/3.4528</f>
        <v>8.3019288693234472</v>
      </c>
    </row>
    <row r="468" spans="1:6" ht="12.75" hidden="1" customHeight="1" x14ac:dyDescent="0.25">
      <c r="A468" s="900"/>
      <c r="B468" s="888"/>
      <c r="C468" s="397" t="s">
        <v>293</v>
      </c>
      <c r="D468" s="389"/>
      <c r="E468" s="408">
        <f>E467/3.4528</f>
        <v>8.3019288693234472</v>
      </c>
      <c r="F468" s="266"/>
    </row>
    <row r="469" spans="1:6" hidden="1" x14ac:dyDescent="0.25"/>
    <row r="470" spans="1:6" hidden="1" x14ac:dyDescent="0.25">
      <c r="B470" t="s">
        <v>189</v>
      </c>
      <c r="C470" t="s">
        <v>193</v>
      </c>
      <c r="D470" s="146" t="s">
        <v>190</v>
      </c>
    </row>
    <row r="471" spans="1:6" hidden="1" x14ac:dyDescent="0.25">
      <c r="D471" s="146"/>
    </row>
    <row r="472" spans="1:6" hidden="1" x14ac:dyDescent="0.25">
      <c r="D472" s="146"/>
    </row>
    <row r="473" spans="1:6" hidden="1" x14ac:dyDescent="0.25">
      <c r="A473" s="132" t="s">
        <v>0</v>
      </c>
      <c r="B473" s="132"/>
      <c r="E473" s="132" t="s">
        <v>186</v>
      </c>
    </row>
    <row r="474" spans="1:6" hidden="1" x14ac:dyDescent="0.25">
      <c r="A474" s="132" t="s">
        <v>1</v>
      </c>
      <c r="B474" s="132"/>
      <c r="D474" s="132" t="s">
        <v>178</v>
      </c>
    </row>
    <row r="475" spans="1:6" hidden="1" x14ac:dyDescent="0.25">
      <c r="A475" s="132" t="s">
        <v>2</v>
      </c>
      <c r="B475" s="132"/>
      <c r="D475" s="132" t="s">
        <v>167</v>
      </c>
    </row>
    <row r="476" spans="1:6" hidden="1" x14ac:dyDescent="0.25">
      <c r="A476" s="132" t="s">
        <v>3</v>
      </c>
      <c r="B476" s="132"/>
      <c r="D476" s="132" t="s">
        <v>168</v>
      </c>
    </row>
    <row r="477" spans="1:6" hidden="1" x14ac:dyDescent="0.25">
      <c r="A477" s="132" t="s">
        <v>4</v>
      </c>
      <c r="B477" s="132"/>
      <c r="D477" s="132" t="s">
        <v>169</v>
      </c>
    </row>
    <row r="478" spans="1:6" ht="0.75" hidden="1" customHeight="1" x14ac:dyDescent="0.25">
      <c r="A478" s="132" t="s">
        <v>5</v>
      </c>
      <c r="B478" s="132"/>
      <c r="D478" s="132" t="s">
        <v>170</v>
      </c>
    </row>
    <row r="479" spans="1:6" ht="15.75" hidden="1" x14ac:dyDescent="0.25">
      <c r="A479" s="141"/>
      <c r="B479" s="141" t="s">
        <v>295</v>
      </c>
      <c r="C479" s="141"/>
      <c r="D479" s="141"/>
      <c r="E479" s="141"/>
    </row>
    <row r="480" spans="1:6" ht="11.25" hidden="1" customHeight="1" x14ac:dyDescent="0.25">
      <c r="C480" s="322">
        <v>41812</v>
      </c>
      <c r="D480" s="142"/>
    </row>
    <row r="481" spans="1:6" ht="11.25" hidden="1" customHeight="1" x14ac:dyDescent="0.25">
      <c r="C481" s="147" t="s">
        <v>191</v>
      </c>
    </row>
    <row r="482" spans="1:6" ht="12" hidden="1" customHeight="1" x14ac:dyDescent="0.25">
      <c r="A482" s="2" t="s">
        <v>6</v>
      </c>
      <c r="B482" s="2"/>
    </row>
    <row r="483" spans="1:6" ht="12" hidden="1" customHeight="1" x14ac:dyDescent="0.25">
      <c r="A483" s="1" t="s">
        <v>195</v>
      </c>
      <c r="B483" s="1"/>
    </row>
    <row r="484" spans="1:6" ht="12" hidden="1" customHeight="1" x14ac:dyDescent="0.25">
      <c r="A484" s="1" t="s">
        <v>7</v>
      </c>
      <c r="B484" s="1"/>
    </row>
    <row r="485" spans="1:6" ht="12" hidden="1" customHeight="1" thickBot="1" x14ac:dyDescent="0.3">
      <c r="A485" s="325" t="s">
        <v>288</v>
      </c>
      <c r="B485" s="325"/>
    </row>
    <row r="486" spans="1:6" hidden="1" x14ac:dyDescent="0.25">
      <c r="A486" s="238" t="s">
        <v>8</v>
      </c>
      <c r="B486" s="239" t="s">
        <v>9</v>
      </c>
      <c r="C486" s="239" t="s">
        <v>10</v>
      </c>
      <c r="D486" s="239" t="s">
        <v>11</v>
      </c>
      <c r="E486" s="241" t="s">
        <v>12</v>
      </c>
    </row>
    <row r="487" spans="1:6" hidden="1" x14ac:dyDescent="0.25">
      <c r="A487" s="385" t="s">
        <v>251</v>
      </c>
      <c r="B487" s="903" t="s">
        <v>256</v>
      </c>
      <c r="C487" s="904"/>
      <c r="D487" s="905"/>
      <c r="E487" s="906"/>
    </row>
    <row r="488" spans="1:6" ht="12" hidden="1" customHeight="1" x14ac:dyDescent="0.25">
      <c r="A488" s="901" t="s">
        <v>15</v>
      </c>
      <c r="B488" s="895" t="s">
        <v>109</v>
      </c>
      <c r="C488" s="396" t="s">
        <v>110</v>
      </c>
      <c r="D488" s="883" t="s">
        <v>111</v>
      </c>
      <c r="E488" s="398">
        <v>0.54</v>
      </c>
    </row>
    <row r="489" spans="1:6" ht="12" hidden="1" customHeight="1" x14ac:dyDescent="0.25">
      <c r="A489" s="902"/>
      <c r="B489" s="896"/>
      <c r="C489" s="397" t="s">
        <v>293</v>
      </c>
      <c r="D489" s="884"/>
      <c r="E489" s="399">
        <f>E488/3.4528</f>
        <v>0.15639481000926786</v>
      </c>
    </row>
    <row r="490" spans="1:6" ht="12" hidden="1" customHeight="1" x14ac:dyDescent="0.25">
      <c r="A490" s="901" t="s">
        <v>21</v>
      </c>
      <c r="B490" s="897" t="s">
        <v>112</v>
      </c>
      <c r="C490" s="396" t="s">
        <v>110</v>
      </c>
      <c r="D490" s="883" t="s">
        <v>275</v>
      </c>
      <c r="E490" s="400">
        <f>13.47+10.03+0.42</f>
        <v>23.92</v>
      </c>
    </row>
    <row r="491" spans="1:6" ht="12" hidden="1" customHeight="1" x14ac:dyDescent="0.25">
      <c r="A491" s="902"/>
      <c r="B491" s="898"/>
      <c r="C491" s="397" t="s">
        <v>293</v>
      </c>
      <c r="D491" s="884"/>
      <c r="E491" s="390">
        <f>E490/3.4528</f>
        <v>6.9277108433734949</v>
      </c>
    </row>
    <row r="492" spans="1:6" hidden="1" x14ac:dyDescent="0.25">
      <c r="A492" s="386" t="s">
        <v>60</v>
      </c>
      <c r="B492" s="387" t="s">
        <v>113</v>
      </c>
      <c r="C492" s="11" t="s">
        <v>59</v>
      </c>
      <c r="D492" s="387"/>
      <c r="E492" s="250">
        <v>25.57</v>
      </c>
    </row>
    <row r="493" spans="1:6" hidden="1" x14ac:dyDescent="0.25">
      <c r="A493" s="300" t="s">
        <v>72</v>
      </c>
      <c r="B493" s="60" t="s">
        <v>114</v>
      </c>
      <c r="C493" s="144" t="s">
        <v>110</v>
      </c>
      <c r="D493" s="144" t="s">
        <v>188</v>
      </c>
      <c r="E493" s="249">
        <v>9.74</v>
      </c>
    </row>
    <row r="494" spans="1:6" hidden="1" x14ac:dyDescent="0.25">
      <c r="A494" s="392" t="s">
        <v>115</v>
      </c>
      <c r="B494" s="393" t="s">
        <v>116</v>
      </c>
      <c r="C494" s="144" t="s">
        <v>110</v>
      </c>
      <c r="D494" s="402" t="s">
        <v>188</v>
      </c>
      <c r="E494" s="301">
        <v>13.05</v>
      </c>
    </row>
    <row r="495" spans="1:6" ht="12" hidden="1" customHeight="1" x14ac:dyDescent="0.25">
      <c r="A495" s="899" t="s">
        <v>84</v>
      </c>
      <c r="B495" s="881" t="s">
        <v>117</v>
      </c>
      <c r="C495" s="396" t="s">
        <v>110</v>
      </c>
      <c r="D495" s="883" t="s">
        <v>121</v>
      </c>
      <c r="E495" s="401">
        <f>E488+E490</f>
        <v>24.46</v>
      </c>
      <c r="F495" s="266">
        <f>E495/3.4528</f>
        <v>7.0841056533827622</v>
      </c>
    </row>
    <row r="496" spans="1:6" ht="12" hidden="1" customHeight="1" x14ac:dyDescent="0.25">
      <c r="A496" s="900"/>
      <c r="B496" s="882"/>
      <c r="C496" s="397" t="s">
        <v>293</v>
      </c>
      <c r="D496" s="884"/>
      <c r="E496" s="403">
        <f>E495/3.4528</f>
        <v>7.0841056533827622</v>
      </c>
      <c r="F496" s="266"/>
    </row>
    <row r="497" spans="1:6" ht="12" hidden="1" customHeight="1" x14ac:dyDescent="0.25">
      <c r="A497" s="899" t="s">
        <v>85</v>
      </c>
      <c r="B497" s="886" t="s">
        <v>118</v>
      </c>
      <c r="C497" s="396" t="s">
        <v>110</v>
      </c>
      <c r="D497" s="388"/>
      <c r="E497" s="404">
        <f>E495*1.09</f>
        <v>26.661400000000004</v>
      </c>
      <c r="F497" s="266">
        <f>E497/3.4528</f>
        <v>7.7216751621872115</v>
      </c>
    </row>
    <row r="498" spans="1:6" ht="12" hidden="1" customHeight="1" x14ac:dyDescent="0.25">
      <c r="A498" s="900"/>
      <c r="B498" s="888"/>
      <c r="C498" s="397" t="s">
        <v>293</v>
      </c>
      <c r="D498" s="389"/>
      <c r="E498" s="399">
        <f>E497/3.4528</f>
        <v>7.7216751621872115</v>
      </c>
      <c r="F498" s="266"/>
    </row>
    <row r="499" spans="1:6" hidden="1" x14ac:dyDescent="0.25">
      <c r="A499" s="394" t="s">
        <v>87</v>
      </c>
      <c r="B499" s="395" t="s">
        <v>119</v>
      </c>
      <c r="C499" s="144" t="s">
        <v>110</v>
      </c>
      <c r="D499" s="389"/>
      <c r="E499" s="258">
        <f>E454</f>
        <v>24.42</v>
      </c>
      <c r="F499" s="266">
        <f>E499/3.4528</f>
        <v>7.0725208526413352</v>
      </c>
    </row>
    <row r="500" spans="1:6" hidden="1" x14ac:dyDescent="0.25">
      <c r="A500" s="256" t="s">
        <v>89</v>
      </c>
      <c r="B500" s="292" t="s">
        <v>120</v>
      </c>
      <c r="C500" s="76" t="s">
        <v>95</v>
      </c>
      <c r="D500" s="65"/>
      <c r="E500" s="250">
        <f>(E495/E499)*100-100</f>
        <v>0.16380016380014695</v>
      </c>
    </row>
    <row r="501" spans="1:6" hidden="1" x14ac:dyDescent="0.25">
      <c r="A501" s="302" t="s">
        <v>252</v>
      </c>
      <c r="B501" s="889" t="s">
        <v>249</v>
      </c>
      <c r="C501" s="890"/>
      <c r="D501" s="891"/>
      <c r="E501" s="892"/>
    </row>
    <row r="502" spans="1:6" ht="11.25" hidden="1" customHeight="1" x14ac:dyDescent="0.25">
      <c r="A502" s="901" t="s">
        <v>15</v>
      </c>
      <c r="B502" s="895" t="s">
        <v>109</v>
      </c>
      <c r="C502" s="287" t="s">
        <v>110</v>
      </c>
      <c r="D502" s="883" t="s">
        <v>111</v>
      </c>
      <c r="E502" s="406">
        <v>0.54</v>
      </c>
    </row>
    <row r="503" spans="1:6" ht="11.25" hidden="1" customHeight="1" x14ac:dyDescent="0.25">
      <c r="A503" s="902"/>
      <c r="B503" s="896"/>
      <c r="C503" s="397" t="s">
        <v>293</v>
      </c>
      <c r="D503" s="884"/>
      <c r="E503" s="399">
        <f>E502/3.4528</f>
        <v>0.15639481000926786</v>
      </c>
    </row>
    <row r="504" spans="1:6" ht="11.25" hidden="1" customHeight="1" x14ac:dyDescent="0.25">
      <c r="A504" s="901" t="s">
        <v>21</v>
      </c>
      <c r="B504" s="897" t="s">
        <v>112</v>
      </c>
      <c r="C504" s="61" t="s">
        <v>110</v>
      </c>
      <c r="D504" s="883" t="s">
        <v>276</v>
      </c>
      <c r="E504" s="400">
        <f>13.04+9.74+0.42</f>
        <v>23.200000000000003</v>
      </c>
    </row>
    <row r="505" spans="1:6" ht="11.25" hidden="1" customHeight="1" x14ac:dyDescent="0.25">
      <c r="A505" s="902"/>
      <c r="B505" s="898"/>
      <c r="C505" s="397" t="s">
        <v>293</v>
      </c>
      <c r="D505" s="884"/>
      <c r="E505" s="399">
        <f>E504/3.4528</f>
        <v>6.7191844300278047</v>
      </c>
    </row>
    <row r="506" spans="1:6" ht="11.25" hidden="1" customHeight="1" x14ac:dyDescent="0.25">
      <c r="A506" s="899" t="s">
        <v>60</v>
      </c>
      <c r="B506" s="881" t="s">
        <v>117</v>
      </c>
      <c r="C506" s="405" t="s">
        <v>110</v>
      </c>
      <c r="D506" s="883" t="s">
        <v>121</v>
      </c>
      <c r="E506" s="401">
        <f>E502+E504</f>
        <v>23.740000000000002</v>
      </c>
      <c r="F506" s="266">
        <f>E506/3.4528</f>
        <v>6.8755792400370721</v>
      </c>
    </row>
    <row r="507" spans="1:6" ht="11.25" hidden="1" customHeight="1" x14ac:dyDescent="0.25">
      <c r="A507" s="900"/>
      <c r="B507" s="882"/>
      <c r="C507" s="397" t="s">
        <v>293</v>
      </c>
      <c r="D507" s="884"/>
      <c r="E507" s="399">
        <f>E506/3.4528</f>
        <v>6.8755792400370721</v>
      </c>
      <c r="F507" s="266"/>
    </row>
    <row r="508" spans="1:6" ht="11.25" hidden="1" customHeight="1" x14ac:dyDescent="0.25">
      <c r="A508" s="899" t="s">
        <v>72</v>
      </c>
      <c r="B508" s="886" t="s">
        <v>118</v>
      </c>
      <c r="C508" s="61" t="s">
        <v>110</v>
      </c>
      <c r="D508" s="407"/>
      <c r="E508" s="232">
        <f>E506*1.21</f>
        <v>28.7254</v>
      </c>
      <c r="F508" s="266">
        <f>E508/3.4528</f>
        <v>8.3194508804448564</v>
      </c>
    </row>
    <row r="509" spans="1:6" ht="11.25" hidden="1" customHeight="1" x14ac:dyDescent="0.25">
      <c r="A509" s="900"/>
      <c r="B509" s="888"/>
      <c r="C509" s="397" t="s">
        <v>293</v>
      </c>
      <c r="D509" s="389"/>
      <c r="E509" s="408">
        <f>E508/3.4528</f>
        <v>8.3194508804448564</v>
      </c>
      <c r="F509" s="266"/>
    </row>
    <row r="510" spans="1:6" hidden="1" x14ac:dyDescent="0.25">
      <c r="B510" t="s">
        <v>189</v>
      </c>
      <c r="C510" t="s">
        <v>193</v>
      </c>
      <c r="D510" s="146" t="s">
        <v>190</v>
      </c>
    </row>
    <row r="511" spans="1:6" hidden="1" x14ac:dyDescent="0.25">
      <c r="D511" s="146"/>
    </row>
    <row r="512" spans="1:6" hidden="1" x14ac:dyDescent="0.25">
      <c r="D512" s="146"/>
    </row>
    <row r="513" spans="1:5" ht="12" hidden="1" customHeight="1" x14ac:dyDescent="0.25">
      <c r="A513" s="132" t="s">
        <v>0</v>
      </c>
      <c r="B513" s="132"/>
      <c r="E513" s="132" t="s">
        <v>186</v>
      </c>
    </row>
    <row r="514" spans="1:5" ht="12" hidden="1" customHeight="1" x14ac:dyDescent="0.25">
      <c r="A514" s="132" t="s">
        <v>1</v>
      </c>
      <c r="B514" s="132"/>
      <c r="D514" s="132" t="s">
        <v>178</v>
      </c>
    </row>
    <row r="515" spans="1:5" ht="12" hidden="1" customHeight="1" x14ac:dyDescent="0.25">
      <c r="A515" s="132" t="s">
        <v>2</v>
      </c>
      <c r="B515" s="132"/>
      <c r="D515" s="132" t="s">
        <v>298</v>
      </c>
    </row>
    <row r="516" spans="1:5" ht="12" hidden="1" customHeight="1" x14ac:dyDescent="0.25">
      <c r="A516" s="132" t="s">
        <v>3</v>
      </c>
      <c r="B516" s="132"/>
      <c r="D516" s="132" t="s">
        <v>168</v>
      </c>
    </row>
    <row r="517" spans="1:5" ht="12" hidden="1" customHeight="1" x14ac:dyDescent="0.25">
      <c r="A517" s="132" t="s">
        <v>4</v>
      </c>
      <c r="B517" s="132"/>
      <c r="D517" s="132" t="s">
        <v>169</v>
      </c>
    </row>
    <row r="518" spans="1:5" ht="12" hidden="1" customHeight="1" x14ac:dyDescent="0.25">
      <c r="A518" s="132" t="s">
        <v>5</v>
      </c>
      <c r="B518" s="132"/>
      <c r="D518" s="132" t="s">
        <v>301</v>
      </c>
    </row>
    <row r="519" spans="1:5" ht="12" hidden="1" customHeight="1" x14ac:dyDescent="0.25">
      <c r="A519" s="141"/>
      <c r="B519" s="141" t="s">
        <v>302</v>
      </c>
      <c r="C519" s="141"/>
      <c r="D519" s="141"/>
      <c r="E519" s="141"/>
    </row>
    <row r="520" spans="1:5" ht="12" hidden="1" customHeight="1" x14ac:dyDescent="0.25">
      <c r="C520" s="322">
        <v>41934</v>
      </c>
      <c r="D520" s="142"/>
    </row>
    <row r="521" spans="1:5" ht="12" hidden="1" customHeight="1" x14ac:dyDescent="0.25">
      <c r="C521" s="147" t="s">
        <v>191</v>
      </c>
    </row>
    <row r="522" spans="1:5" ht="12" hidden="1" customHeight="1" x14ac:dyDescent="0.25">
      <c r="A522" s="2" t="s">
        <v>6</v>
      </c>
      <c r="B522" s="2"/>
    </row>
    <row r="523" spans="1:5" ht="12" hidden="1" customHeight="1" x14ac:dyDescent="0.25">
      <c r="A523" s="1" t="s">
        <v>195</v>
      </c>
      <c r="B523" s="1"/>
    </row>
    <row r="524" spans="1:5" ht="12" hidden="1" customHeight="1" x14ac:dyDescent="0.25">
      <c r="A524" s="1" t="s">
        <v>7</v>
      </c>
      <c r="B524" s="1"/>
    </row>
    <row r="525" spans="1:5" ht="12" hidden="1" customHeight="1" thickBot="1" x14ac:dyDescent="0.3">
      <c r="A525" s="325" t="s">
        <v>288</v>
      </c>
      <c r="B525" s="325"/>
    </row>
    <row r="526" spans="1:5" hidden="1" x14ac:dyDescent="0.25">
      <c r="A526" s="238" t="s">
        <v>8</v>
      </c>
      <c r="B526" s="239" t="s">
        <v>9</v>
      </c>
      <c r="C526" s="239" t="s">
        <v>10</v>
      </c>
      <c r="D526" s="239" t="s">
        <v>11</v>
      </c>
      <c r="E526" s="241" t="s">
        <v>12</v>
      </c>
    </row>
    <row r="527" spans="1:5" hidden="1" x14ac:dyDescent="0.25">
      <c r="A527" s="385" t="s">
        <v>251</v>
      </c>
      <c r="B527" s="903" t="s">
        <v>256</v>
      </c>
      <c r="C527" s="904"/>
      <c r="D527" s="905"/>
      <c r="E527" s="906"/>
    </row>
    <row r="528" spans="1:5" hidden="1" x14ac:dyDescent="0.25">
      <c r="A528" s="901" t="s">
        <v>15</v>
      </c>
      <c r="B528" s="895" t="s">
        <v>109</v>
      </c>
      <c r="C528" s="396" t="s">
        <v>110</v>
      </c>
      <c r="D528" s="883" t="s">
        <v>111</v>
      </c>
      <c r="E528" s="398">
        <v>0.54</v>
      </c>
    </row>
    <row r="529" spans="1:5" ht="12" hidden="1" customHeight="1" x14ac:dyDescent="0.25">
      <c r="A529" s="902"/>
      <c r="B529" s="896"/>
      <c r="C529" s="397" t="s">
        <v>293</v>
      </c>
      <c r="D529" s="884"/>
      <c r="E529" s="399">
        <f>E528/3.4528</f>
        <v>0.15639481000926786</v>
      </c>
    </row>
    <row r="530" spans="1:5" ht="12" hidden="1" customHeight="1" x14ac:dyDescent="0.25">
      <c r="A530" s="901" t="s">
        <v>21</v>
      </c>
      <c r="B530" s="897" t="s">
        <v>112</v>
      </c>
      <c r="C530" s="396" t="s">
        <v>110</v>
      </c>
      <c r="D530" s="883" t="s">
        <v>275</v>
      </c>
      <c r="E530" s="400">
        <v>24.22</v>
      </c>
    </row>
    <row r="531" spans="1:5" ht="12" hidden="1" customHeight="1" x14ac:dyDescent="0.25">
      <c r="A531" s="902"/>
      <c r="B531" s="898"/>
      <c r="C531" s="397" t="s">
        <v>293</v>
      </c>
      <c r="D531" s="884"/>
      <c r="E531" s="390">
        <f>E530/3.4528</f>
        <v>7.0145968489341985</v>
      </c>
    </row>
    <row r="532" spans="1:5" ht="12" hidden="1" customHeight="1" x14ac:dyDescent="0.25">
      <c r="A532" s="386" t="s">
        <v>60</v>
      </c>
      <c r="B532" s="387" t="s">
        <v>113</v>
      </c>
      <c r="C532" s="11" t="s">
        <v>59</v>
      </c>
      <c r="D532" s="387"/>
      <c r="E532" s="250">
        <v>26.13</v>
      </c>
    </row>
    <row r="533" spans="1:5" ht="12" hidden="1" customHeight="1" x14ac:dyDescent="0.25">
      <c r="A533" s="300" t="s">
        <v>72</v>
      </c>
      <c r="B533" s="60" t="s">
        <v>114</v>
      </c>
      <c r="C533" s="144" t="s">
        <v>110</v>
      </c>
      <c r="D533" s="144" t="s">
        <v>188</v>
      </c>
      <c r="E533" s="249">
        <v>9.74</v>
      </c>
    </row>
    <row r="534" spans="1:5" ht="12" hidden="1" customHeight="1" x14ac:dyDescent="0.25">
      <c r="A534" s="392" t="s">
        <v>115</v>
      </c>
      <c r="B534" s="393" t="s">
        <v>116</v>
      </c>
      <c r="C534" s="144" t="s">
        <v>110</v>
      </c>
      <c r="D534" s="402" t="s">
        <v>188</v>
      </c>
      <c r="E534" s="301">
        <v>13.05</v>
      </c>
    </row>
    <row r="535" spans="1:5" ht="12.75" hidden="1" customHeight="1" x14ac:dyDescent="0.25">
      <c r="A535" s="899" t="s">
        <v>84</v>
      </c>
      <c r="B535" s="881" t="s">
        <v>117</v>
      </c>
      <c r="C535" s="396" t="s">
        <v>110</v>
      </c>
      <c r="D535" s="883" t="s">
        <v>121</v>
      </c>
      <c r="E535" s="401">
        <f>E528+E530</f>
        <v>24.759999999999998</v>
      </c>
    </row>
    <row r="536" spans="1:5" ht="12.75" hidden="1" customHeight="1" x14ac:dyDescent="0.25">
      <c r="A536" s="900"/>
      <c r="B536" s="882"/>
      <c r="C536" s="397" t="s">
        <v>293</v>
      </c>
      <c r="D536" s="884"/>
      <c r="E536" s="403">
        <f>E535/3.4528</f>
        <v>7.1709916589434659</v>
      </c>
    </row>
    <row r="537" spans="1:5" ht="12.75" hidden="1" customHeight="1" x14ac:dyDescent="0.25">
      <c r="A537" s="899" t="s">
        <v>85</v>
      </c>
      <c r="B537" s="886" t="s">
        <v>118</v>
      </c>
      <c r="C537" s="396" t="s">
        <v>110</v>
      </c>
      <c r="D537" s="388"/>
      <c r="E537" s="404">
        <f>E535*1.09</f>
        <v>26.988399999999999</v>
      </c>
    </row>
    <row r="538" spans="1:5" ht="12.75" hidden="1" customHeight="1" x14ac:dyDescent="0.25">
      <c r="A538" s="900"/>
      <c r="B538" s="888"/>
      <c r="C538" s="397" t="s">
        <v>293</v>
      </c>
      <c r="D538" s="389"/>
      <c r="E538" s="399">
        <f>E537/3.4528</f>
        <v>7.8163809082483784</v>
      </c>
    </row>
    <row r="539" spans="1:5" hidden="1" x14ac:dyDescent="0.25">
      <c r="A539" s="394" t="s">
        <v>87</v>
      </c>
      <c r="B539" s="395" t="s">
        <v>119</v>
      </c>
      <c r="C539" s="144" t="s">
        <v>110</v>
      </c>
      <c r="D539" s="389"/>
      <c r="E539" s="258">
        <v>24.46</v>
      </c>
    </row>
    <row r="540" spans="1:5" hidden="1" x14ac:dyDescent="0.25">
      <c r="A540" s="256" t="s">
        <v>89</v>
      </c>
      <c r="B540" s="292" t="s">
        <v>120</v>
      </c>
      <c r="C540" s="76" t="s">
        <v>95</v>
      </c>
      <c r="D540" s="65"/>
      <c r="E540" s="250">
        <f>(E535/E539)*100-100</f>
        <v>1.2264922322158469</v>
      </c>
    </row>
    <row r="541" spans="1:5" hidden="1" x14ac:dyDescent="0.25">
      <c r="A541" s="302" t="s">
        <v>252</v>
      </c>
      <c r="B541" s="889" t="s">
        <v>249</v>
      </c>
      <c r="C541" s="890"/>
      <c r="D541" s="891"/>
      <c r="E541" s="892"/>
    </row>
    <row r="542" spans="1:5" ht="11.25" hidden="1" customHeight="1" x14ac:dyDescent="0.25">
      <c r="A542" s="901" t="s">
        <v>15</v>
      </c>
      <c r="B542" s="895" t="s">
        <v>109</v>
      </c>
      <c r="C542" s="287" t="s">
        <v>110</v>
      </c>
      <c r="D542" s="883" t="s">
        <v>111</v>
      </c>
      <c r="E542" s="406">
        <v>0.54</v>
      </c>
    </row>
    <row r="543" spans="1:5" ht="11.25" hidden="1" customHeight="1" x14ac:dyDescent="0.25">
      <c r="A543" s="902"/>
      <c r="B543" s="896"/>
      <c r="C543" s="397" t="s">
        <v>293</v>
      </c>
      <c r="D543" s="884"/>
      <c r="E543" s="399">
        <f>E542/3.4528</f>
        <v>0.15639481000926786</v>
      </c>
    </row>
    <row r="544" spans="1:5" ht="11.25" hidden="1" customHeight="1" x14ac:dyDescent="0.25">
      <c r="A544" s="901" t="s">
        <v>21</v>
      </c>
      <c r="B544" s="897" t="s">
        <v>112</v>
      </c>
      <c r="C544" s="61" t="s">
        <v>110</v>
      </c>
      <c r="D544" s="883" t="s">
        <v>276</v>
      </c>
      <c r="E544" s="400">
        <v>23.49</v>
      </c>
    </row>
    <row r="545" spans="1:5" ht="11.25" hidden="1" customHeight="1" x14ac:dyDescent="0.25">
      <c r="A545" s="902"/>
      <c r="B545" s="898"/>
      <c r="C545" s="397" t="s">
        <v>293</v>
      </c>
      <c r="D545" s="884"/>
      <c r="E545" s="399">
        <f>E544/3.4528</f>
        <v>6.8031742354031506</v>
      </c>
    </row>
    <row r="546" spans="1:5" ht="11.25" hidden="1" customHeight="1" x14ac:dyDescent="0.25">
      <c r="A546" s="899" t="s">
        <v>60</v>
      </c>
      <c r="B546" s="881" t="s">
        <v>117</v>
      </c>
      <c r="C546" s="405" t="s">
        <v>110</v>
      </c>
      <c r="D546" s="883" t="s">
        <v>121</v>
      </c>
      <c r="E546" s="401">
        <f>E542+E544</f>
        <v>24.029999999999998</v>
      </c>
    </row>
    <row r="547" spans="1:5" ht="11.25" hidden="1" customHeight="1" x14ac:dyDescent="0.25">
      <c r="A547" s="900"/>
      <c r="B547" s="882"/>
      <c r="C547" s="397" t="s">
        <v>293</v>
      </c>
      <c r="D547" s="884"/>
      <c r="E547" s="399">
        <f>E546/3.4528</f>
        <v>6.9595690454124188</v>
      </c>
    </row>
    <row r="548" spans="1:5" ht="11.25" hidden="1" customHeight="1" x14ac:dyDescent="0.25">
      <c r="A548" s="899" t="s">
        <v>72</v>
      </c>
      <c r="B548" s="886" t="s">
        <v>118</v>
      </c>
      <c r="C548" s="61" t="s">
        <v>110</v>
      </c>
      <c r="D548" s="407"/>
      <c r="E548" s="232">
        <f>E546*1.21</f>
        <v>29.076299999999996</v>
      </c>
    </row>
    <row r="549" spans="1:5" ht="11.25" hidden="1" customHeight="1" x14ac:dyDescent="0.25">
      <c r="A549" s="900"/>
      <c r="B549" s="888"/>
      <c r="C549" s="397" t="s">
        <v>293</v>
      </c>
      <c r="D549" s="389"/>
      <c r="E549" s="408">
        <f>E548/3.4528</f>
        <v>8.421078544949026</v>
      </c>
    </row>
    <row r="550" spans="1:5" hidden="1" x14ac:dyDescent="0.25">
      <c r="B550" t="s">
        <v>189</v>
      </c>
      <c r="C550" t="s">
        <v>193</v>
      </c>
      <c r="D550" s="146" t="s">
        <v>190</v>
      </c>
    </row>
    <row r="551" spans="1:5" hidden="1" x14ac:dyDescent="0.25">
      <c r="D551" s="146"/>
    </row>
    <row r="552" spans="1:5" hidden="1" x14ac:dyDescent="0.25">
      <c r="D552" s="146"/>
    </row>
    <row r="553" spans="1:5" ht="12" hidden="1" customHeight="1" x14ac:dyDescent="0.25">
      <c r="A553" s="132" t="s">
        <v>0</v>
      </c>
      <c r="B553" s="132"/>
      <c r="E553" s="132" t="s">
        <v>186</v>
      </c>
    </row>
    <row r="554" spans="1:5" ht="12" hidden="1" customHeight="1" x14ac:dyDescent="0.25">
      <c r="A554" s="132" t="s">
        <v>1</v>
      </c>
      <c r="B554" s="132"/>
      <c r="D554" s="132" t="s">
        <v>178</v>
      </c>
    </row>
    <row r="555" spans="1:5" ht="12" hidden="1" customHeight="1" x14ac:dyDescent="0.25">
      <c r="A555" s="132" t="s">
        <v>2</v>
      </c>
      <c r="B555" s="132"/>
      <c r="D555" s="132"/>
    </row>
    <row r="556" spans="1:5" ht="12" hidden="1" customHeight="1" x14ac:dyDescent="0.25">
      <c r="A556" s="132" t="s">
        <v>3</v>
      </c>
      <c r="B556" s="132"/>
      <c r="D556" s="132" t="s">
        <v>168</v>
      </c>
    </row>
    <row r="557" spans="1:5" ht="12" hidden="1" customHeight="1" x14ac:dyDescent="0.25">
      <c r="A557" s="132" t="s">
        <v>4</v>
      </c>
      <c r="B557" s="132"/>
      <c r="D557" s="132" t="s">
        <v>169</v>
      </c>
    </row>
    <row r="558" spans="1:5" ht="12" hidden="1" customHeight="1" x14ac:dyDescent="0.25">
      <c r="A558" s="132" t="s">
        <v>5</v>
      </c>
      <c r="B558" s="132"/>
      <c r="D558" s="132" t="s">
        <v>301</v>
      </c>
    </row>
    <row r="559" spans="1:5" ht="13.5" hidden="1" customHeight="1" x14ac:dyDescent="0.25">
      <c r="A559" s="141"/>
      <c r="B559" s="141" t="s">
        <v>304</v>
      </c>
      <c r="C559" s="141"/>
      <c r="D559" s="141"/>
      <c r="E559" s="141"/>
    </row>
    <row r="560" spans="1:5" ht="10.5" hidden="1" customHeight="1" x14ac:dyDescent="0.25">
      <c r="C560" s="322">
        <v>41934</v>
      </c>
      <c r="D560" s="142"/>
    </row>
    <row r="561" spans="1:5" ht="10.5" hidden="1" customHeight="1" x14ac:dyDescent="0.25">
      <c r="C561" s="147" t="s">
        <v>191</v>
      </c>
    </row>
    <row r="562" spans="1:5" ht="12.75" hidden="1" customHeight="1" x14ac:dyDescent="0.25">
      <c r="A562" s="2" t="s">
        <v>6</v>
      </c>
      <c r="B562" s="2"/>
    </row>
    <row r="563" spans="1:5" ht="12.75" hidden="1" customHeight="1" x14ac:dyDescent="0.25">
      <c r="A563" s="1" t="s">
        <v>195</v>
      </c>
      <c r="B563" s="1"/>
    </row>
    <row r="564" spans="1:5" ht="12.75" hidden="1" customHeight="1" x14ac:dyDescent="0.25">
      <c r="A564" s="1" t="s">
        <v>7</v>
      </c>
      <c r="B564" s="1"/>
    </row>
    <row r="565" spans="1:5" ht="12.75" hidden="1" customHeight="1" thickBot="1" x14ac:dyDescent="0.3">
      <c r="A565" s="325" t="s">
        <v>288</v>
      </c>
      <c r="B565" s="325"/>
    </row>
    <row r="566" spans="1:5" hidden="1" x14ac:dyDescent="0.25">
      <c r="A566" s="238" t="s">
        <v>8</v>
      </c>
      <c r="B566" s="239" t="s">
        <v>9</v>
      </c>
      <c r="C566" s="239" t="s">
        <v>10</v>
      </c>
      <c r="D566" s="239" t="s">
        <v>11</v>
      </c>
      <c r="E566" s="241" t="s">
        <v>12</v>
      </c>
    </row>
    <row r="567" spans="1:5" hidden="1" x14ac:dyDescent="0.25">
      <c r="A567" s="385" t="s">
        <v>251</v>
      </c>
      <c r="B567" s="903" t="s">
        <v>256</v>
      </c>
      <c r="C567" s="904"/>
      <c r="D567" s="905"/>
      <c r="E567" s="906"/>
    </row>
    <row r="568" spans="1:5" ht="12" hidden="1" customHeight="1" x14ac:dyDescent="0.25">
      <c r="A568" s="901" t="s">
        <v>15</v>
      </c>
      <c r="B568" s="895" t="s">
        <v>109</v>
      </c>
      <c r="C568" s="396" t="s">
        <v>110</v>
      </c>
      <c r="D568" s="883" t="s">
        <v>111</v>
      </c>
      <c r="E568" s="398">
        <v>0.54</v>
      </c>
    </row>
    <row r="569" spans="1:5" ht="12" hidden="1" customHeight="1" x14ac:dyDescent="0.25">
      <c r="A569" s="902"/>
      <c r="B569" s="896"/>
      <c r="C569" s="397" t="s">
        <v>293</v>
      </c>
      <c r="D569" s="884"/>
      <c r="E569" s="399">
        <f>E568/3.4528</f>
        <v>0.15639481000926786</v>
      </c>
    </row>
    <row r="570" spans="1:5" ht="12" hidden="1" customHeight="1" x14ac:dyDescent="0.25">
      <c r="A570" s="901" t="s">
        <v>21</v>
      </c>
      <c r="B570" s="897" t="s">
        <v>112</v>
      </c>
      <c r="C570" s="396" t="s">
        <v>110</v>
      </c>
      <c r="D570" s="883" t="s">
        <v>275</v>
      </c>
      <c r="E570" s="400">
        <v>24.09</v>
      </c>
    </row>
    <row r="571" spans="1:5" ht="12" hidden="1" customHeight="1" x14ac:dyDescent="0.25">
      <c r="A571" s="902"/>
      <c r="B571" s="898"/>
      <c r="C571" s="397" t="s">
        <v>293</v>
      </c>
      <c r="D571" s="884"/>
      <c r="E571" s="390">
        <f>E570/3.4528</f>
        <v>6.9769462465245597</v>
      </c>
    </row>
    <row r="572" spans="1:5" hidden="1" x14ac:dyDescent="0.25">
      <c r="A572" s="386" t="s">
        <v>60</v>
      </c>
      <c r="B572" s="387" t="s">
        <v>113</v>
      </c>
      <c r="C572" s="11" t="s">
        <v>59</v>
      </c>
      <c r="D572" s="387"/>
      <c r="E572" s="250">
        <v>25.88</v>
      </c>
    </row>
    <row r="573" spans="1:5" hidden="1" x14ac:dyDescent="0.25">
      <c r="A573" s="300" t="s">
        <v>72</v>
      </c>
      <c r="B573" s="60" t="s">
        <v>114</v>
      </c>
      <c r="C573" s="144" t="s">
        <v>110</v>
      </c>
      <c r="D573" s="144" t="s">
        <v>188</v>
      </c>
      <c r="E573" s="249">
        <v>9.74</v>
      </c>
    </row>
    <row r="574" spans="1:5" hidden="1" x14ac:dyDescent="0.25">
      <c r="A574" s="392" t="s">
        <v>115</v>
      </c>
      <c r="B574" s="393" t="s">
        <v>116</v>
      </c>
      <c r="C574" s="144" t="s">
        <v>110</v>
      </c>
      <c r="D574" s="402" t="s">
        <v>188</v>
      </c>
      <c r="E574" s="301">
        <v>13.05</v>
      </c>
    </row>
    <row r="575" spans="1:5" ht="12" hidden="1" customHeight="1" x14ac:dyDescent="0.25">
      <c r="A575" s="899" t="s">
        <v>84</v>
      </c>
      <c r="B575" s="881" t="s">
        <v>117</v>
      </c>
      <c r="C575" s="396" t="s">
        <v>110</v>
      </c>
      <c r="D575" s="883" t="s">
        <v>121</v>
      </c>
      <c r="E575" s="401">
        <f>E568+E570</f>
        <v>24.63</v>
      </c>
    </row>
    <row r="576" spans="1:5" ht="12" hidden="1" customHeight="1" x14ac:dyDescent="0.25">
      <c r="A576" s="900"/>
      <c r="B576" s="882"/>
      <c r="C576" s="397" t="s">
        <v>293</v>
      </c>
      <c r="D576" s="884"/>
      <c r="E576" s="403">
        <f>E575/3.4528</f>
        <v>7.133341056533828</v>
      </c>
    </row>
    <row r="577" spans="1:5" ht="12" hidden="1" customHeight="1" x14ac:dyDescent="0.25">
      <c r="A577" s="899" t="s">
        <v>85</v>
      </c>
      <c r="B577" s="886" t="s">
        <v>118</v>
      </c>
      <c r="C577" s="396" t="s">
        <v>110</v>
      </c>
      <c r="D577" s="388"/>
      <c r="E577" s="404">
        <f>E575*1.09</f>
        <v>26.846700000000002</v>
      </c>
    </row>
    <row r="578" spans="1:5" ht="12" hidden="1" customHeight="1" x14ac:dyDescent="0.25">
      <c r="A578" s="900"/>
      <c r="B578" s="888"/>
      <c r="C578" s="397" t="s">
        <v>293</v>
      </c>
      <c r="D578" s="389"/>
      <c r="E578" s="399">
        <f>E577/3.4528</f>
        <v>7.7753417516218732</v>
      </c>
    </row>
    <row r="579" spans="1:5" hidden="1" x14ac:dyDescent="0.25">
      <c r="A579" s="394" t="s">
        <v>87</v>
      </c>
      <c r="B579" s="395" t="s">
        <v>119</v>
      </c>
      <c r="C579" s="144" t="s">
        <v>110</v>
      </c>
      <c r="D579" s="389"/>
      <c r="E579" s="258">
        <v>24.46</v>
      </c>
    </row>
    <row r="580" spans="1:5" hidden="1" x14ac:dyDescent="0.25">
      <c r="A580" s="256" t="s">
        <v>89</v>
      </c>
      <c r="B580" s="292" t="s">
        <v>120</v>
      </c>
      <c r="C580" s="76" t="s">
        <v>95</v>
      </c>
      <c r="D580" s="65"/>
      <c r="E580" s="250">
        <f>(E575/E579)*100-100</f>
        <v>0.69501226492232604</v>
      </c>
    </row>
    <row r="581" spans="1:5" hidden="1" x14ac:dyDescent="0.25">
      <c r="A581" s="302" t="s">
        <v>252</v>
      </c>
      <c r="B581" s="889" t="s">
        <v>249</v>
      </c>
      <c r="C581" s="890"/>
      <c r="D581" s="891"/>
      <c r="E581" s="892"/>
    </row>
    <row r="582" spans="1:5" ht="12" hidden="1" customHeight="1" x14ac:dyDescent="0.25">
      <c r="A582" s="901" t="s">
        <v>15</v>
      </c>
      <c r="B582" s="895" t="s">
        <v>109</v>
      </c>
      <c r="C582" s="287" t="s">
        <v>110</v>
      </c>
      <c r="D582" s="883" t="s">
        <v>111</v>
      </c>
      <c r="E582" s="406">
        <v>0.54</v>
      </c>
    </row>
    <row r="583" spans="1:5" ht="12" hidden="1" customHeight="1" x14ac:dyDescent="0.25">
      <c r="A583" s="902"/>
      <c r="B583" s="896"/>
      <c r="C583" s="397" t="s">
        <v>293</v>
      </c>
      <c r="D583" s="884"/>
      <c r="E583" s="399">
        <f>E582/3.4528</f>
        <v>0.15639481000926786</v>
      </c>
    </row>
    <row r="584" spans="1:5" ht="12" hidden="1" customHeight="1" x14ac:dyDescent="0.25">
      <c r="A584" s="901" t="s">
        <v>21</v>
      </c>
      <c r="B584" s="897" t="s">
        <v>112</v>
      </c>
      <c r="C584" s="61" t="s">
        <v>110</v>
      </c>
      <c r="D584" s="883" t="s">
        <v>276</v>
      </c>
      <c r="E584" s="400">
        <v>23.36</v>
      </c>
    </row>
    <row r="585" spans="1:5" ht="12" hidden="1" customHeight="1" x14ac:dyDescent="0.25">
      <c r="A585" s="902"/>
      <c r="B585" s="898"/>
      <c r="C585" s="397" t="s">
        <v>293</v>
      </c>
      <c r="D585" s="884"/>
      <c r="E585" s="399">
        <f>E584/3.4528</f>
        <v>6.7655236329935127</v>
      </c>
    </row>
    <row r="586" spans="1:5" ht="12" hidden="1" customHeight="1" x14ac:dyDescent="0.25">
      <c r="A586" s="899" t="s">
        <v>60</v>
      </c>
      <c r="B586" s="881" t="s">
        <v>117</v>
      </c>
      <c r="C586" s="405" t="s">
        <v>110</v>
      </c>
      <c r="D586" s="883" t="s">
        <v>121</v>
      </c>
      <c r="E586" s="401">
        <f>E582+E584</f>
        <v>23.9</v>
      </c>
    </row>
    <row r="587" spans="1:5" ht="12" hidden="1" customHeight="1" x14ac:dyDescent="0.25">
      <c r="A587" s="900"/>
      <c r="B587" s="882"/>
      <c r="C587" s="397" t="s">
        <v>293</v>
      </c>
      <c r="D587" s="884"/>
      <c r="E587" s="399">
        <f>E586/3.4528</f>
        <v>6.92191844300278</v>
      </c>
    </row>
    <row r="588" spans="1:5" ht="12" hidden="1" customHeight="1" x14ac:dyDescent="0.25">
      <c r="A588" s="899" t="s">
        <v>72</v>
      </c>
      <c r="B588" s="886" t="s">
        <v>118</v>
      </c>
      <c r="C588" s="61" t="s">
        <v>110</v>
      </c>
      <c r="D588" s="407"/>
      <c r="E588" s="232">
        <f>E586*1.21</f>
        <v>28.918999999999997</v>
      </c>
    </row>
    <row r="589" spans="1:5" ht="12" hidden="1" customHeight="1" x14ac:dyDescent="0.25">
      <c r="A589" s="900"/>
      <c r="B589" s="888"/>
      <c r="C589" s="397" t="s">
        <v>293</v>
      </c>
      <c r="D589" s="389"/>
      <c r="E589" s="408">
        <f>E588/3.4528</f>
        <v>8.3755213160333639</v>
      </c>
    </row>
    <row r="590" spans="1:5" hidden="1" x14ac:dyDescent="0.25">
      <c r="B590" t="s">
        <v>189</v>
      </c>
      <c r="C590" t="s">
        <v>193</v>
      </c>
      <c r="D590" s="146" t="s">
        <v>190</v>
      </c>
    </row>
    <row r="591" spans="1:5" hidden="1" x14ac:dyDescent="0.25">
      <c r="D591" s="146"/>
    </row>
    <row r="592" spans="1:5" ht="6" hidden="1" customHeight="1" x14ac:dyDescent="0.25">
      <c r="D592" s="146"/>
    </row>
    <row r="593" spans="1:5" ht="11.25" hidden="1" customHeight="1" x14ac:dyDescent="0.25">
      <c r="A593" s="132" t="s">
        <v>0</v>
      </c>
      <c r="B593" s="132"/>
      <c r="E593" s="132" t="s">
        <v>186</v>
      </c>
    </row>
    <row r="594" spans="1:5" ht="11.25" hidden="1" customHeight="1" x14ac:dyDescent="0.25">
      <c r="A594" s="132" t="s">
        <v>1</v>
      </c>
      <c r="B594" s="132"/>
      <c r="D594" s="132" t="s">
        <v>178</v>
      </c>
    </row>
    <row r="595" spans="1:5" ht="11.25" hidden="1" customHeight="1" x14ac:dyDescent="0.25">
      <c r="A595" s="132" t="s">
        <v>2</v>
      </c>
      <c r="B595" s="132"/>
      <c r="D595" s="132" t="s">
        <v>305</v>
      </c>
    </row>
    <row r="596" spans="1:5" ht="11.25" hidden="1" customHeight="1" x14ac:dyDescent="0.25">
      <c r="A596" s="132" t="s">
        <v>3</v>
      </c>
      <c r="B596" s="132"/>
      <c r="D596" s="132" t="s">
        <v>168</v>
      </c>
    </row>
    <row r="597" spans="1:5" ht="11.25" hidden="1" customHeight="1" x14ac:dyDescent="0.25">
      <c r="A597" s="132" t="s">
        <v>4</v>
      </c>
      <c r="B597" s="132"/>
      <c r="D597" s="132" t="s">
        <v>169</v>
      </c>
    </row>
    <row r="598" spans="1:5" ht="11.25" hidden="1" customHeight="1" x14ac:dyDescent="0.25">
      <c r="A598" s="132" t="s">
        <v>5</v>
      </c>
      <c r="B598" s="132"/>
      <c r="D598" s="132" t="s">
        <v>170</v>
      </c>
    </row>
    <row r="599" spans="1:5" ht="15.75" hidden="1" x14ac:dyDescent="0.25">
      <c r="A599" s="141"/>
      <c r="B599" s="141" t="s">
        <v>307</v>
      </c>
      <c r="C599" s="141"/>
      <c r="D599" s="141"/>
      <c r="E599" s="141"/>
    </row>
    <row r="600" spans="1:5" ht="12" hidden="1" customHeight="1" x14ac:dyDescent="0.25">
      <c r="C600" s="322">
        <v>41992</v>
      </c>
      <c r="D600" s="142"/>
    </row>
    <row r="601" spans="1:5" ht="12" hidden="1" customHeight="1" x14ac:dyDescent="0.25">
      <c r="C601" s="147" t="s">
        <v>191</v>
      </c>
    </row>
    <row r="602" spans="1:5" ht="12" hidden="1" customHeight="1" x14ac:dyDescent="0.25">
      <c r="A602" s="2" t="s">
        <v>6</v>
      </c>
      <c r="B602" s="2"/>
    </row>
    <row r="603" spans="1:5" ht="12" hidden="1" customHeight="1" x14ac:dyDescent="0.25">
      <c r="A603" s="1" t="s">
        <v>195</v>
      </c>
      <c r="B603" s="1"/>
    </row>
    <row r="604" spans="1:5" ht="12" hidden="1" customHeight="1" x14ac:dyDescent="0.25">
      <c r="A604" s="1" t="s">
        <v>7</v>
      </c>
      <c r="B604" s="1"/>
    </row>
    <row r="605" spans="1:5" ht="12" hidden="1" customHeight="1" thickBot="1" x14ac:dyDescent="0.3">
      <c r="A605" s="325" t="s">
        <v>288</v>
      </c>
      <c r="B605" s="325"/>
    </row>
    <row r="606" spans="1:5" hidden="1" x14ac:dyDescent="0.25">
      <c r="A606" s="238" t="s">
        <v>8</v>
      </c>
      <c r="B606" s="239" t="s">
        <v>9</v>
      </c>
      <c r="C606" s="239" t="s">
        <v>10</v>
      </c>
      <c r="D606" s="239" t="s">
        <v>11</v>
      </c>
      <c r="E606" s="241" t="s">
        <v>12</v>
      </c>
    </row>
    <row r="607" spans="1:5" hidden="1" x14ac:dyDescent="0.25">
      <c r="A607" s="385" t="s">
        <v>251</v>
      </c>
      <c r="B607" s="903" t="s">
        <v>256</v>
      </c>
      <c r="C607" s="904"/>
      <c r="D607" s="905"/>
      <c r="E607" s="906"/>
    </row>
    <row r="608" spans="1:5" ht="12" hidden="1" customHeight="1" x14ac:dyDescent="0.25">
      <c r="A608" s="901" t="s">
        <v>15</v>
      </c>
      <c r="B608" s="895" t="s">
        <v>109</v>
      </c>
      <c r="C608" s="397" t="s">
        <v>293</v>
      </c>
      <c r="D608" s="883" t="s">
        <v>111</v>
      </c>
      <c r="E608" s="398">
        <v>0.54</v>
      </c>
    </row>
    <row r="609" spans="1:7" ht="12" hidden="1" customHeight="1" x14ac:dyDescent="0.25">
      <c r="A609" s="902"/>
      <c r="B609" s="896"/>
      <c r="C609" s="396" t="s">
        <v>110</v>
      </c>
      <c r="D609" s="884"/>
      <c r="E609" s="399">
        <f>E608/3.4528</f>
        <v>0.15639481000926786</v>
      </c>
      <c r="G609" s="396" t="s">
        <v>110</v>
      </c>
    </row>
    <row r="610" spans="1:7" ht="12" hidden="1" customHeight="1" x14ac:dyDescent="0.25">
      <c r="A610" s="901" t="s">
        <v>21</v>
      </c>
      <c r="B610" s="897" t="s">
        <v>112</v>
      </c>
      <c r="C610" s="397" t="s">
        <v>293</v>
      </c>
      <c r="D610" s="883" t="s">
        <v>275</v>
      </c>
      <c r="E610" s="400">
        <v>23.87</v>
      </c>
    </row>
    <row r="611" spans="1:7" ht="12" hidden="1" customHeight="1" x14ac:dyDescent="0.25">
      <c r="A611" s="902"/>
      <c r="B611" s="898"/>
      <c r="C611" s="396" t="s">
        <v>110</v>
      </c>
      <c r="D611" s="884"/>
      <c r="E611" s="390">
        <f>E610/3.4528</f>
        <v>6.9132298424467109</v>
      </c>
    </row>
    <row r="612" spans="1:7" ht="12" hidden="1" customHeight="1" x14ac:dyDescent="0.25">
      <c r="A612" s="386" t="s">
        <v>60</v>
      </c>
      <c r="B612" s="387" t="s">
        <v>113</v>
      </c>
      <c r="C612" s="11" t="s">
        <v>59</v>
      </c>
      <c r="D612" s="387"/>
      <c r="E612" s="412">
        <v>25.47</v>
      </c>
    </row>
    <row r="613" spans="1:7" ht="12" hidden="1" customHeight="1" x14ac:dyDescent="0.25">
      <c r="A613" s="300" t="s">
        <v>72</v>
      </c>
      <c r="B613" s="60" t="s">
        <v>114</v>
      </c>
      <c r="C613" s="144" t="s">
        <v>110</v>
      </c>
      <c r="D613" s="144" t="s">
        <v>188</v>
      </c>
      <c r="E613" s="249">
        <v>9.74</v>
      </c>
    </row>
    <row r="614" spans="1:7" ht="12" hidden="1" customHeight="1" x14ac:dyDescent="0.25">
      <c r="A614" s="392" t="s">
        <v>115</v>
      </c>
      <c r="B614" s="393" t="s">
        <v>116</v>
      </c>
      <c r="C614" s="144" t="s">
        <v>110</v>
      </c>
      <c r="D614" s="402" t="s">
        <v>188</v>
      </c>
      <c r="E614" s="301">
        <v>13.05</v>
      </c>
    </row>
    <row r="615" spans="1:7" ht="11.25" hidden="1" customHeight="1" x14ac:dyDescent="0.25">
      <c r="A615" s="899" t="s">
        <v>84</v>
      </c>
      <c r="B615" s="881" t="s">
        <v>117</v>
      </c>
      <c r="C615" s="397" t="s">
        <v>293</v>
      </c>
      <c r="D615" s="883" t="s">
        <v>121</v>
      </c>
      <c r="E615" s="401">
        <f>E608+E610</f>
        <v>24.41</v>
      </c>
    </row>
    <row r="616" spans="1:7" ht="11.25" hidden="1" customHeight="1" x14ac:dyDescent="0.25">
      <c r="A616" s="900"/>
      <c r="B616" s="882"/>
      <c r="C616" s="396" t="s">
        <v>110</v>
      </c>
      <c r="D616" s="884"/>
      <c r="E616" s="403">
        <f>E615/3.4528</f>
        <v>7.0696246524559783</v>
      </c>
    </row>
    <row r="617" spans="1:7" ht="11.25" hidden="1" customHeight="1" x14ac:dyDescent="0.25">
      <c r="A617" s="899" t="s">
        <v>85</v>
      </c>
      <c r="B617" s="886" t="s">
        <v>118</v>
      </c>
      <c r="C617" s="397" t="s">
        <v>293</v>
      </c>
      <c r="D617" s="388"/>
      <c r="E617" s="404">
        <f>E615*1.09</f>
        <v>26.606900000000003</v>
      </c>
    </row>
    <row r="618" spans="1:7" ht="11.25" hidden="1" customHeight="1" x14ac:dyDescent="0.25">
      <c r="A618" s="900"/>
      <c r="B618" s="888"/>
      <c r="C618" s="396" t="s">
        <v>110</v>
      </c>
      <c r="D618" s="389"/>
      <c r="E618" s="399">
        <f>E617/3.4528</f>
        <v>7.7058908711770169</v>
      </c>
    </row>
    <row r="619" spans="1:7" ht="12" hidden="1" customHeight="1" x14ac:dyDescent="0.25">
      <c r="A619" s="394" t="s">
        <v>87</v>
      </c>
      <c r="B619" s="395" t="s">
        <v>119</v>
      </c>
      <c r="C619" s="144" t="s">
        <v>110</v>
      </c>
      <c r="D619" s="389"/>
      <c r="E619" s="258">
        <v>24.63</v>
      </c>
    </row>
    <row r="620" spans="1:7" ht="12" hidden="1" customHeight="1" x14ac:dyDescent="0.25">
      <c r="A620" s="256" t="s">
        <v>89</v>
      </c>
      <c r="B620" s="292" t="s">
        <v>120</v>
      </c>
      <c r="C620" s="76" t="s">
        <v>95</v>
      </c>
      <c r="D620" s="65"/>
      <c r="E620" s="250">
        <f>(E615/E619)*100-100</f>
        <v>-0.89321965083230737</v>
      </c>
    </row>
    <row r="621" spans="1:7" ht="15.75" hidden="1" customHeight="1" x14ac:dyDescent="0.25">
      <c r="A621" s="302" t="s">
        <v>252</v>
      </c>
      <c r="B621" s="889" t="s">
        <v>249</v>
      </c>
      <c r="C621" s="890"/>
      <c r="D621" s="891"/>
      <c r="E621" s="892"/>
    </row>
    <row r="622" spans="1:7" ht="12" hidden="1" customHeight="1" x14ac:dyDescent="0.25">
      <c r="A622" s="901" t="s">
        <v>15</v>
      </c>
      <c r="B622" s="895" t="s">
        <v>109</v>
      </c>
      <c r="C622" s="287" t="s">
        <v>110</v>
      </c>
      <c r="D622" s="883" t="s">
        <v>111</v>
      </c>
      <c r="E622" s="406">
        <v>0.54</v>
      </c>
    </row>
    <row r="623" spans="1:7" ht="12" hidden="1" customHeight="1" x14ac:dyDescent="0.25">
      <c r="A623" s="902"/>
      <c r="B623" s="896"/>
      <c r="C623" s="397" t="s">
        <v>293</v>
      </c>
      <c r="D623" s="884"/>
      <c r="E623" s="399">
        <f>E622/3.4528</f>
        <v>0.15639481000926786</v>
      </c>
    </row>
    <row r="624" spans="1:7" ht="12" hidden="1" customHeight="1" x14ac:dyDescent="0.25">
      <c r="A624" s="901" t="s">
        <v>21</v>
      </c>
      <c r="B624" s="897" t="s">
        <v>112</v>
      </c>
      <c r="C624" s="61" t="s">
        <v>110</v>
      </c>
      <c r="D624" s="883" t="s">
        <v>276</v>
      </c>
      <c r="E624" s="400">
        <v>23.15</v>
      </c>
    </row>
    <row r="625" spans="1:5" ht="12" hidden="1" customHeight="1" x14ac:dyDescent="0.25">
      <c r="A625" s="902"/>
      <c r="B625" s="898"/>
      <c r="C625" s="397" t="s">
        <v>293</v>
      </c>
      <c r="D625" s="884"/>
      <c r="E625" s="399">
        <f>E624/3.4528</f>
        <v>6.704703429101019</v>
      </c>
    </row>
    <row r="626" spans="1:5" ht="12" hidden="1" customHeight="1" x14ac:dyDescent="0.25">
      <c r="A626" s="899" t="s">
        <v>60</v>
      </c>
      <c r="B626" s="881" t="s">
        <v>117</v>
      </c>
      <c r="C626" s="405" t="s">
        <v>110</v>
      </c>
      <c r="D626" s="883" t="s">
        <v>121</v>
      </c>
      <c r="E626" s="401">
        <f>E622+E624</f>
        <v>23.689999999999998</v>
      </c>
    </row>
    <row r="627" spans="1:5" ht="12" hidden="1" customHeight="1" x14ac:dyDescent="0.25">
      <c r="A627" s="900"/>
      <c r="B627" s="882"/>
      <c r="C627" s="397" t="s">
        <v>293</v>
      </c>
      <c r="D627" s="884"/>
      <c r="E627" s="399">
        <f>E626/3.4528</f>
        <v>6.8610982391102873</v>
      </c>
    </row>
    <row r="628" spans="1:5" ht="12" hidden="1" customHeight="1" x14ac:dyDescent="0.25">
      <c r="A628" s="899" t="s">
        <v>72</v>
      </c>
      <c r="B628" s="886" t="s">
        <v>118</v>
      </c>
      <c r="C628" s="61" t="s">
        <v>110</v>
      </c>
      <c r="D628" s="407"/>
      <c r="E628" s="232">
        <f>E626*1.21</f>
        <v>28.664899999999996</v>
      </c>
    </row>
    <row r="629" spans="1:5" ht="12" hidden="1" customHeight="1" x14ac:dyDescent="0.25">
      <c r="A629" s="900"/>
      <c r="B629" s="888"/>
      <c r="C629" s="397" t="s">
        <v>293</v>
      </c>
      <c r="D629" s="389"/>
      <c r="E629" s="408">
        <f>E628/3.4528</f>
        <v>8.3019288693234472</v>
      </c>
    </row>
    <row r="630" spans="1:5" ht="12" hidden="1" customHeight="1" x14ac:dyDescent="0.25">
      <c r="A630" s="413"/>
      <c r="B630" s="414"/>
      <c r="C630" s="415"/>
      <c r="D630" s="416"/>
      <c r="E630" s="417"/>
    </row>
    <row r="631" spans="1:5" hidden="1" x14ac:dyDescent="0.25">
      <c r="B631" t="s">
        <v>189</v>
      </c>
      <c r="C631" t="s">
        <v>193</v>
      </c>
      <c r="D631" s="146" t="s">
        <v>190</v>
      </c>
    </row>
    <row r="632" spans="1:5" hidden="1" x14ac:dyDescent="0.25">
      <c r="D632" s="146"/>
    </row>
    <row r="633" spans="1:5" hidden="1" x14ac:dyDescent="0.25">
      <c r="D633" s="146"/>
    </row>
    <row r="634" spans="1:5" ht="11.25" hidden="1" customHeight="1" x14ac:dyDescent="0.25">
      <c r="A634" s="132" t="s">
        <v>0</v>
      </c>
      <c r="B634" s="132"/>
      <c r="E634" s="132" t="s">
        <v>186</v>
      </c>
    </row>
    <row r="635" spans="1:5" ht="11.25" hidden="1" customHeight="1" x14ac:dyDescent="0.25">
      <c r="A635" s="132" t="s">
        <v>1</v>
      </c>
      <c r="B635" s="132"/>
      <c r="D635" s="132" t="s">
        <v>178</v>
      </c>
    </row>
    <row r="636" spans="1:5" ht="11.25" hidden="1" customHeight="1" x14ac:dyDescent="0.25">
      <c r="A636" s="132" t="s">
        <v>2</v>
      </c>
      <c r="B636" s="132"/>
      <c r="D636" s="132" t="s">
        <v>305</v>
      </c>
    </row>
    <row r="637" spans="1:5" ht="11.25" hidden="1" customHeight="1" x14ac:dyDescent="0.25">
      <c r="A637" s="132" t="s">
        <v>3</v>
      </c>
      <c r="B637" s="132"/>
      <c r="D637" s="132" t="s">
        <v>168</v>
      </c>
    </row>
    <row r="638" spans="1:5" ht="11.25" hidden="1" customHeight="1" x14ac:dyDescent="0.25">
      <c r="A638" s="132" t="s">
        <v>4</v>
      </c>
      <c r="B638" s="132"/>
      <c r="D638" s="132" t="s">
        <v>169</v>
      </c>
    </row>
    <row r="639" spans="1:5" ht="11.25" hidden="1" customHeight="1" x14ac:dyDescent="0.25">
      <c r="A639" s="132" t="s">
        <v>321</v>
      </c>
      <c r="B639" s="132"/>
      <c r="D639" s="132" t="s">
        <v>317</v>
      </c>
    </row>
    <row r="640" spans="1:5" ht="15.75" hidden="1" x14ac:dyDescent="0.25">
      <c r="A640" s="141"/>
      <c r="B640" s="141" t="s">
        <v>314</v>
      </c>
      <c r="C640" s="141"/>
      <c r="D640" s="141"/>
      <c r="E640" s="141"/>
    </row>
    <row r="641" spans="1:5" ht="11.25" hidden="1" customHeight="1" x14ac:dyDescent="0.25">
      <c r="C641" s="322">
        <v>42026</v>
      </c>
      <c r="D641" s="142"/>
    </row>
    <row r="642" spans="1:5" ht="11.25" hidden="1" customHeight="1" x14ac:dyDescent="0.25">
      <c r="C642" s="147" t="s">
        <v>191</v>
      </c>
    </row>
    <row r="643" spans="1:5" ht="12.75" hidden="1" customHeight="1" x14ac:dyDescent="0.25">
      <c r="A643" s="2" t="s">
        <v>6</v>
      </c>
      <c r="B643" s="2"/>
    </row>
    <row r="644" spans="1:5" ht="12.75" hidden="1" customHeight="1" x14ac:dyDescent="0.25">
      <c r="A644" s="1" t="s">
        <v>195</v>
      </c>
      <c r="B644" s="1"/>
    </row>
    <row r="645" spans="1:5" ht="12.75" hidden="1" customHeight="1" x14ac:dyDescent="0.25">
      <c r="A645" s="1" t="s">
        <v>7</v>
      </c>
      <c r="B645" s="1"/>
    </row>
    <row r="646" spans="1:5" ht="12.75" hidden="1" customHeight="1" thickBot="1" x14ac:dyDescent="0.3">
      <c r="A646" s="325" t="s">
        <v>322</v>
      </c>
      <c r="B646" s="325"/>
    </row>
    <row r="647" spans="1:5" ht="15.75" hidden="1" thickBot="1" x14ac:dyDescent="0.3">
      <c r="A647" s="454" t="s">
        <v>8</v>
      </c>
      <c r="B647" s="455" t="s">
        <v>9</v>
      </c>
      <c r="C647" s="455" t="s">
        <v>10</v>
      </c>
      <c r="D647" s="455" t="s">
        <v>11</v>
      </c>
      <c r="E647" s="456" t="s">
        <v>12</v>
      </c>
    </row>
    <row r="648" spans="1:5" hidden="1" x14ac:dyDescent="0.25">
      <c r="A648" s="302" t="s">
        <v>251</v>
      </c>
      <c r="B648" s="889" t="s">
        <v>256</v>
      </c>
      <c r="C648" s="890"/>
      <c r="D648" s="891"/>
      <c r="E648" s="892"/>
    </row>
    <row r="649" spans="1:5" ht="12" hidden="1" customHeight="1" x14ac:dyDescent="0.25">
      <c r="A649" s="893" t="s">
        <v>15</v>
      </c>
      <c r="B649" s="895" t="s">
        <v>109</v>
      </c>
      <c r="C649" s="445" t="s">
        <v>323</v>
      </c>
      <c r="D649" s="883" t="s">
        <v>111</v>
      </c>
      <c r="E649" s="447">
        <v>0.16</v>
      </c>
    </row>
    <row r="650" spans="1:5" ht="12" hidden="1" customHeight="1" x14ac:dyDescent="0.25">
      <c r="A650" s="894"/>
      <c r="B650" s="896"/>
      <c r="C650" s="397" t="s">
        <v>324</v>
      </c>
      <c r="D650" s="884"/>
      <c r="E650" s="399">
        <v>0.55000000000000004</v>
      </c>
    </row>
    <row r="651" spans="1:5" ht="12" hidden="1" customHeight="1" x14ac:dyDescent="0.25">
      <c r="A651" s="893" t="s">
        <v>21</v>
      </c>
      <c r="B651" s="897" t="s">
        <v>112</v>
      </c>
      <c r="C651" s="445" t="s">
        <v>323</v>
      </c>
      <c r="D651" s="883" t="s">
        <v>275</v>
      </c>
      <c r="E651" s="448">
        <v>6.93</v>
      </c>
    </row>
    <row r="652" spans="1:5" ht="12" hidden="1" customHeight="1" x14ac:dyDescent="0.25">
      <c r="A652" s="894"/>
      <c r="B652" s="898"/>
      <c r="C652" s="397" t="s">
        <v>324</v>
      </c>
      <c r="D652" s="884"/>
      <c r="E652" s="450">
        <f>E651*3.4528</f>
        <v>23.927903999999998</v>
      </c>
    </row>
    <row r="653" spans="1:5" ht="11.25" hidden="1" customHeight="1" x14ac:dyDescent="0.25">
      <c r="A653" s="386" t="s">
        <v>60</v>
      </c>
      <c r="B653" s="387" t="s">
        <v>113</v>
      </c>
      <c r="C653" s="457" t="s">
        <v>292</v>
      </c>
      <c r="D653" s="387"/>
      <c r="E653" s="412">
        <v>7.43</v>
      </c>
    </row>
    <row r="654" spans="1:5" ht="11.25" hidden="1" customHeight="1" x14ac:dyDescent="0.25">
      <c r="A654" s="300" t="s">
        <v>72</v>
      </c>
      <c r="B654" s="60" t="s">
        <v>114</v>
      </c>
      <c r="C654" s="144" t="s">
        <v>315</v>
      </c>
      <c r="D654" s="144" t="s">
        <v>188</v>
      </c>
      <c r="E654" s="249">
        <v>2.82</v>
      </c>
    </row>
    <row r="655" spans="1:5" ht="11.25" hidden="1" customHeight="1" x14ac:dyDescent="0.25">
      <c r="A655" s="392" t="s">
        <v>115</v>
      </c>
      <c r="B655" s="393" t="s">
        <v>116</v>
      </c>
      <c r="C655" s="144" t="s">
        <v>315</v>
      </c>
      <c r="D655" s="402" t="s">
        <v>188</v>
      </c>
      <c r="E655" s="301">
        <v>3.78</v>
      </c>
    </row>
    <row r="656" spans="1:5" ht="12.75" hidden="1" customHeight="1" x14ac:dyDescent="0.25">
      <c r="A656" s="879" t="s">
        <v>84</v>
      </c>
      <c r="B656" s="881" t="s">
        <v>117</v>
      </c>
      <c r="C656" s="144" t="s">
        <v>315</v>
      </c>
      <c r="D656" s="883" t="s">
        <v>121</v>
      </c>
      <c r="E656" s="401">
        <f>E649+E651</f>
        <v>7.09</v>
      </c>
    </row>
    <row r="657" spans="1:5" ht="12.75" hidden="1" customHeight="1" x14ac:dyDescent="0.25">
      <c r="A657" s="880"/>
      <c r="B657" s="882"/>
      <c r="C657" s="397" t="s">
        <v>324</v>
      </c>
      <c r="D657" s="884"/>
      <c r="E657" s="403">
        <f>E656*3.4528</f>
        <v>24.480352</v>
      </c>
    </row>
    <row r="658" spans="1:5" ht="12.75" hidden="1" customHeight="1" x14ac:dyDescent="0.25">
      <c r="A658" s="879" t="s">
        <v>85</v>
      </c>
      <c r="B658" s="886" t="s">
        <v>118</v>
      </c>
      <c r="C658" s="144" t="s">
        <v>315</v>
      </c>
      <c r="D658" s="65"/>
      <c r="E658" s="401">
        <f>E656*1.09</f>
        <v>7.7281000000000004</v>
      </c>
    </row>
    <row r="659" spans="1:5" ht="12.75" hidden="1" customHeight="1" x14ac:dyDescent="0.25">
      <c r="A659" s="880"/>
      <c r="B659" s="888"/>
      <c r="C659" s="397" t="s">
        <v>324</v>
      </c>
      <c r="D659" s="389"/>
      <c r="E659" s="403">
        <f>E658*3.4528</f>
        <v>26.683583680000002</v>
      </c>
    </row>
    <row r="660" spans="1:5" ht="12.75" hidden="1" customHeight="1" x14ac:dyDescent="0.25">
      <c r="A660" s="879" t="s">
        <v>87</v>
      </c>
      <c r="B660" s="886" t="s">
        <v>119</v>
      </c>
      <c r="C660" s="144" t="s">
        <v>315</v>
      </c>
      <c r="D660" s="389"/>
      <c r="E660" s="446">
        <v>7.07</v>
      </c>
    </row>
    <row r="661" spans="1:5" ht="12.75" hidden="1" customHeight="1" x14ac:dyDescent="0.25">
      <c r="A661" s="880"/>
      <c r="B661" s="888"/>
      <c r="C661" s="397" t="s">
        <v>324</v>
      </c>
      <c r="D661" s="389"/>
      <c r="E661" s="399">
        <f>E660*3.4528</f>
        <v>24.411296</v>
      </c>
    </row>
    <row r="662" spans="1:5" hidden="1" x14ac:dyDescent="0.25">
      <c r="A662" s="256" t="s">
        <v>89</v>
      </c>
      <c r="B662" s="292" t="s">
        <v>120</v>
      </c>
      <c r="C662" s="76" t="s">
        <v>95</v>
      </c>
      <c r="D662" s="65"/>
      <c r="E662" s="250">
        <f>(E656/E660)*100-100</f>
        <v>0.282885431400274</v>
      </c>
    </row>
    <row r="663" spans="1:5" ht="15.75" hidden="1" customHeight="1" x14ac:dyDescent="0.25">
      <c r="A663" s="302" t="s">
        <v>252</v>
      </c>
      <c r="B663" s="889" t="s">
        <v>249</v>
      </c>
      <c r="C663" s="890"/>
      <c r="D663" s="891"/>
      <c r="E663" s="892"/>
    </row>
    <row r="664" spans="1:5" ht="12.75" hidden="1" customHeight="1" x14ac:dyDescent="0.25">
      <c r="A664" s="893" t="s">
        <v>15</v>
      </c>
      <c r="B664" s="895" t="s">
        <v>109</v>
      </c>
      <c r="C664" s="445" t="s">
        <v>323</v>
      </c>
      <c r="D664" s="883" t="s">
        <v>111</v>
      </c>
      <c r="E664" s="449">
        <v>0.16</v>
      </c>
    </row>
    <row r="665" spans="1:5" ht="12.75" hidden="1" customHeight="1" x14ac:dyDescent="0.25">
      <c r="A665" s="894"/>
      <c r="B665" s="896"/>
      <c r="C665" s="397" t="s">
        <v>324</v>
      </c>
      <c r="D665" s="884"/>
      <c r="E665" s="399">
        <v>0.55000000000000004</v>
      </c>
    </row>
    <row r="666" spans="1:5" ht="12.75" hidden="1" customHeight="1" x14ac:dyDescent="0.25">
      <c r="A666" s="893" t="s">
        <v>21</v>
      </c>
      <c r="B666" s="897" t="s">
        <v>112</v>
      </c>
      <c r="C666" s="445" t="s">
        <v>323</v>
      </c>
      <c r="D666" s="883" t="s">
        <v>325</v>
      </c>
      <c r="E666" s="448">
        <v>6.73</v>
      </c>
    </row>
    <row r="667" spans="1:5" ht="12.75" hidden="1" customHeight="1" x14ac:dyDescent="0.25">
      <c r="A667" s="894"/>
      <c r="B667" s="898"/>
      <c r="C667" s="397" t="s">
        <v>324</v>
      </c>
      <c r="D667" s="884"/>
      <c r="E667" s="399">
        <f>E666*3.4528</f>
        <v>23.237344</v>
      </c>
    </row>
    <row r="668" spans="1:5" ht="12.75" hidden="1" customHeight="1" x14ac:dyDescent="0.25">
      <c r="A668" s="879" t="s">
        <v>60</v>
      </c>
      <c r="B668" s="881" t="s">
        <v>117</v>
      </c>
      <c r="C668" s="445" t="s">
        <v>323</v>
      </c>
      <c r="D668" s="883" t="s">
        <v>121</v>
      </c>
      <c r="E668" s="401">
        <f>E664+E666</f>
        <v>6.8900000000000006</v>
      </c>
    </row>
    <row r="669" spans="1:5" ht="12.75" hidden="1" customHeight="1" x14ac:dyDescent="0.25">
      <c r="A669" s="880"/>
      <c r="B669" s="882"/>
      <c r="C669" s="397" t="s">
        <v>324</v>
      </c>
      <c r="D669" s="884"/>
      <c r="E669" s="403">
        <f>E668*3.4528</f>
        <v>23.789792000000002</v>
      </c>
    </row>
    <row r="670" spans="1:5" ht="12.75" hidden="1" customHeight="1" x14ac:dyDescent="0.25">
      <c r="A670" s="879" t="s">
        <v>72</v>
      </c>
      <c r="B670" s="886" t="s">
        <v>118</v>
      </c>
      <c r="C670" s="445" t="s">
        <v>323</v>
      </c>
      <c r="D670" s="407"/>
      <c r="E670" s="257">
        <f>E668*1.21</f>
        <v>8.3369</v>
      </c>
    </row>
    <row r="671" spans="1:5" ht="12.75" hidden="1" customHeight="1" thickBot="1" x14ac:dyDescent="0.3">
      <c r="A671" s="885"/>
      <c r="B671" s="887"/>
      <c r="C671" s="451" t="s">
        <v>324</v>
      </c>
      <c r="D671" s="452"/>
      <c r="E671" s="453">
        <f>E670*3.4528</f>
        <v>28.78564832</v>
      </c>
    </row>
    <row r="672" spans="1:5" hidden="1" x14ac:dyDescent="0.25">
      <c r="A672" s="413"/>
      <c r="B672" s="414"/>
      <c r="C672" s="415"/>
      <c r="D672" s="416"/>
      <c r="E672" s="417"/>
    </row>
    <row r="673" spans="1:5" hidden="1" x14ac:dyDescent="0.25">
      <c r="B673" t="s">
        <v>189</v>
      </c>
      <c r="C673" t="s">
        <v>193</v>
      </c>
      <c r="D673" s="146" t="s">
        <v>190</v>
      </c>
    </row>
    <row r="674" spans="1:5" hidden="1" x14ac:dyDescent="0.25"/>
    <row r="675" spans="1:5" ht="11.25" hidden="1" customHeight="1" x14ac:dyDescent="0.25">
      <c r="A675" s="132" t="s">
        <v>0</v>
      </c>
      <c r="B675" s="132"/>
      <c r="E675" s="132" t="s">
        <v>186</v>
      </c>
    </row>
    <row r="676" spans="1:5" ht="11.25" hidden="1" customHeight="1" x14ac:dyDescent="0.25">
      <c r="A676" s="132" t="s">
        <v>1</v>
      </c>
      <c r="B676" s="132"/>
      <c r="D676" s="132" t="s">
        <v>178</v>
      </c>
    </row>
    <row r="677" spans="1:5" ht="11.25" hidden="1" customHeight="1" x14ac:dyDescent="0.25">
      <c r="A677" s="132" t="s">
        <v>2</v>
      </c>
      <c r="B677" s="132"/>
      <c r="D677" s="132" t="s">
        <v>305</v>
      </c>
    </row>
    <row r="678" spans="1:5" ht="11.25" hidden="1" customHeight="1" x14ac:dyDescent="0.25">
      <c r="A678" s="132" t="s">
        <v>3</v>
      </c>
      <c r="B678" s="132"/>
      <c r="D678" s="132" t="s">
        <v>168</v>
      </c>
    </row>
    <row r="679" spans="1:5" ht="11.25" hidden="1" customHeight="1" x14ac:dyDescent="0.25">
      <c r="A679" s="132" t="s">
        <v>4</v>
      </c>
      <c r="B679" s="132"/>
      <c r="D679" s="132" t="s">
        <v>169</v>
      </c>
    </row>
    <row r="680" spans="1:5" ht="11.25" hidden="1" customHeight="1" x14ac:dyDescent="0.25">
      <c r="A680" s="132" t="s">
        <v>321</v>
      </c>
      <c r="B680" s="132"/>
      <c r="D680" s="132" t="s">
        <v>317</v>
      </c>
    </row>
    <row r="681" spans="1:5" ht="15.75" hidden="1" x14ac:dyDescent="0.25">
      <c r="A681" s="141"/>
      <c r="B681" s="141" t="s">
        <v>330</v>
      </c>
      <c r="C681" s="141"/>
      <c r="D681" s="141"/>
      <c r="E681" s="141"/>
    </row>
    <row r="682" spans="1:5" ht="11.25" hidden="1" customHeight="1" x14ac:dyDescent="0.25">
      <c r="C682" s="322">
        <v>42060</v>
      </c>
      <c r="D682" s="142"/>
    </row>
    <row r="683" spans="1:5" ht="11.25" hidden="1" customHeight="1" x14ac:dyDescent="0.25">
      <c r="C683" s="147" t="s">
        <v>191</v>
      </c>
    </row>
    <row r="684" spans="1:5" ht="12.75" hidden="1" customHeight="1" x14ac:dyDescent="0.25">
      <c r="A684" s="2" t="s">
        <v>6</v>
      </c>
      <c r="B684" s="2"/>
    </row>
    <row r="685" spans="1:5" ht="12.75" hidden="1" customHeight="1" x14ac:dyDescent="0.25">
      <c r="A685" s="1" t="s">
        <v>195</v>
      </c>
      <c r="B685" s="1"/>
    </row>
    <row r="686" spans="1:5" ht="12.75" hidden="1" customHeight="1" x14ac:dyDescent="0.25">
      <c r="A686" s="1" t="s">
        <v>7</v>
      </c>
      <c r="B686" s="1"/>
    </row>
    <row r="687" spans="1:5" ht="12.75" hidden="1" customHeight="1" thickBot="1" x14ac:dyDescent="0.3">
      <c r="A687" s="325" t="s">
        <v>331</v>
      </c>
      <c r="B687" s="325"/>
    </row>
    <row r="688" spans="1:5" ht="15.75" hidden="1" thickBot="1" x14ac:dyDescent="0.3">
      <c r="A688" s="454" t="s">
        <v>8</v>
      </c>
      <c r="B688" s="455" t="s">
        <v>9</v>
      </c>
      <c r="C688" s="455" t="s">
        <v>10</v>
      </c>
      <c r="D688" s="455" t="s">
        <v>11</v>
      </c>
      <c r="E688" s="456" t="s">
        <v>12</v>
      </c>
    </row>
    <row r="689" spans="1:5" hidden="1" x14ac:dyDescent="0.25">
      <c r="A689" s="302" t="s">
        <v>251</v>
      </c>
      <c r="B689" s="889" t="s">
        <v>256</v>
      </c>
      <c r="C689" s="890"/>
      <c r="D689" s="891"/>
      <c r="E689" s="892"/>
    </row>
    <row r="690" spans="1:5" ht="12" hidden="1" customHeight="1" x14ac:dyDescent="0.25">
      <c r="A690" s="893" t="s">
        <v>15</v>
      </c>
      <c r="B690" s="895" t="s">
        <v>109</v>
      </c>
      <c r="C690" s="445" t="s">
        <v>323</v>
      </c>
      <c r="D690" s="883" t="s">
        <v>111</v>
      </c>
      <c r="E690" s="447">
        <v>0.16</v>
      </c>
    </row>
    <row r="691" spans="1:5" ht="12" hidden="1" customHeight="1" x14ac:dyDescent="0.25">
      <c r="A691" s="894"/>
      <c r="B691" s="896"/>
      <c r="C691" s="397" t="s">
        <v>324</v>
      </c>
      <c r="D691" s="884"/>
      <c r="E691" s="399">
        <v>0.54</v>
      </c>
    </row>
    <row r="692" spans="1:5" ht="12" hidden="1" customHeight="1" x14ac:dyDescent="0.25">
      <c r="A692" s="893" t="s">
        <v>21</v>
      </c>
      <c r="B692" s="897" t="s">
        <v>112</v>
      </c>
      <c r="C692" s="445" t="s">
        <v>323</v>
      </c>
      <c r="D692" s="883" t="s">
        <v>275</v>
      </c>
      <c r="E692" s="448">
        <v>7.12</v>
      </c>
    </row>
    <row r="693" spans="1:5" ht="12" hidden="1" customHeight="1" x14ac:dyDescent="0.25">
      <c r="A693" s="894"/>
      <c r="B693" s="898"/>
      <c r="C693" s="397" t="s">
        <v>324</v>
      </c>
      <c r="D693" s="884"/>
      <c r="E693" s="399">
        <v>24.6</v>
      </c>
    </row>
    <row r="694" spans="1:5" ht="11.25" hidden="1" customHeight="1" x14ac:dyDescent="0.25">
      <c r="A694" s="386" t="s">
        <v>60</v>
      </c>
      <c r="B694" s="387" t="s">
        <v>113</v>
      </c>
      <c r="C694" s="457" t="s">
        <v>292</v>
      </c>
      <c r="D694" s="387"/>
      <c r="E694" s="460">
        <v>7.79</v>
      </c>
    </row>
    <row r="695" spans="1:5" ht="11.25" hidden="1" customHeight="1" x14ac:dyDescent="0.25">
      <c r="A695" s="300" t="s">
        <v>72</v>
      </c>
      <c r="B695" s="60" t="s">
        <v>114</v>
      </c>
      <c r="C695" s="144" t="s">
        <v>315</v>
      </c>
      <c r="D695" s="144" t="s">
        <v>188</v>
      </c>
      <c r="E695" s="458">
        <v>2.82</v>
      </c>
    </row>
    <row r="696" spans="1:5" ht="11.25" hidden="1" customHeight="1" x14ac:dyDescent="0.25">
      <c r="A696" s="392" t="s">
        <v>115</v>
      </c>
      <c r="B696" s="393" t="s">
        <v>116</v>
      </c>
      <c r="C696" s="144" t="s">
        <v>315</v>
      </c>
      <c r="D696" s="402" t="s">
        <v>188</v>
      </c>
      <c r="E696" s="459">
        <v>3.78</v>
      </c>
    </row>
    <row r="697" spans="1:5" ht="12.75" hidden="1" customHeight="1" x14ac:dyDescent="0.25">
      <c r="A697" s="879" t="s">
        <v>84</v>
      </c>
      <c r="B697" s="881" t="s">
        <v>117</v>
      </c>
      <c r="C697" s="144" t="s">
        <v>315</v>
      </c>
      <c r="D697" s="883" t="s">
        <v>121</v>
      </c>
      <c r="E697" s="401">
        <f>E690+E692</f>
        <v>7.28</v>
      </c>
    </row>
    <row r="698" spans="1:5" ht="12.75" hidden="1" customHeight="1" x14ac:dyDescent="0.25">
      <c r="A698" s="880"/>
      <c r="B698" s="882"/>
      <c r="C698" s="397" t="s">
        <v>324</v>
      </c>
      <c r="D698" s="884"/>
      <c r="E698" s="399">
        <f>E697*3.4528</f>
        <v>25.136384</v>
      </c>
    </row>
    <row r="699" spans="1:5" ht="12.75" hidden="1" customHeight="1" x14ac:dyDescent="0.25">
      <c r="A699" s="879" t="s">
        <v>85</v>
      </c>
      <c r="B699" s="886" t="s">
        <v>118</v>
      </c>
      <c r="C699" s="144" t="s">
        <v>315</v>
      </c>
      <c r="D699" s="65"/>
      <c r="E699" s="401">
        <f>E697*1.09</f>
        <v>7.9352000000000009</v>
      </c>
    </row>
    <row r="700" spans="1:5" ht="12.75" hidden="1" customHeight="1" x14ac:dyDescent="0.25">
      <c r="A700" s="880"/>
      <c r="B700" s="888"/>
      <c r="C700" s="397" t="s">
        <v>324</v>
      </c>
      <c r="D700" s="389"/>
      <c r="E700" s="399">
        <f>E699*3.4528</f>
        <v>27.398658560000001</v>
      </c>
    </row>
    <row r="701" spans="1:5" ht="12.75" hidden="1" customHeight="1" x14ac:dyDescent="0.25">
      <c r="A701" s="879" t="s">
        <v>87</v>
      </c>
      <c r="B701" s="886" t="s">
        <v>119</v>
      </c>
      <c r="C701" s="144" t="s">
        <v>315</v>
      </c>
      <c r="D701" s="389"/>
      <c r="E701" s="446">
        <v>7.09</v>
      </c>
    </row>
    <row r="702" spans="1:5" ht="12.75" hidden="1" customHeight="1" x14ac:dyDescent="0.25">
      <c r="A702" s="880"/>
      <c r="B702" s="888"/>
      <c r="C702" s="397" t="s">
        <v>324</v>
      </c>
      <c r="D702" s="389"/>
      <c r="E702" s="399">
        <f>E701*3.4528</f>
        <v>24.480352</v>
      </c>
    </row>
    <row r="703" spans="1:5" hidden="1" x14ac:dyDescent="0.25">
      <c r="A703" s="256" t="s">
        <v>89</v>
      </c>
      <c r="B703" s="292" t="s">
        <v>120</v>
      </c>
      <c r="C703" s="76" t="s">
        <v>95</v>
      </c>
      <c r="D703" s="65"/>
      <c r="E703" s="250">
        <f>(E697/E701)*100-100</f>
        <v>2.6798307475317245</v>
      </c>
    </row>
    <row r="704" spans="1:5" ht="15.75" hidden="1" customHeight="1" x14ac:dyDescent="0.25">
      <c r="A704" s="302" t="s">
        <v>252</v>
      </c>
      <c r="B704" s="889" t="s">
        <v>249</v>
      </c>
      <c r="C704" s="890"/>
      <c r="D704" s="891"/>
      <c r="E704" s="892"/>
    </row>
    <row r="705" spans="1:5" ht="12.75" hidden="1" customHeight="1" x14ac:dyDescent="0.25">
      <c r="A705" s="893" t="s">
        <v>15</v>
      </c>
      <c r="B705" s="895" t="s">
        <v>109</v>
      </c>
      <c r="C705" s="445" t="s">
        <v>323</v>
      </c>
      <c r="D705" s="883" t="s">
        <v>111</v>
      </c>
      <c r="E705" s="449">
        <v>0.16</v>
      </c>
    </row>
    <row r="706" spans="1:5" ht="12.75" hidden="1" customHeight="1" x14ac:dyDescent="0.25">
      <c r="A706" s="894"/>
      <c r="B706" s="896"/>
      <c r="C706" s="397" t="s">
        <v>324</v>
      </c>
      <c r="D706" s="884"/>
      <c r="E706" s="399">
        <v>0.54</v>
      </c>
    </row>
    <row r="707" spans="1:5" ht="12.75" hidden="1" customHeight="1" x14ac:dyDescent="0.25">
      <c r="A707" s="893" t="s">
        <v>21</v>
      </c>
      <c r="B707" s="897" t="s">
        <v>112</v>
      </c>
      <c r="C707" s="445" t="s">
        <v>323</v>
      </c>
      <c r="D707" s="883" t="s">
        <v>325</v>
      </c>
      <c r="E707" s="448">
        <v>6.91</v>
      </c>
    </row>
    <row r="708" spans="1:5" ht="12.75" hidden="1" customHeight="1" x14ac:dyDescent="0.25">
      <c r="A708" s="894"/>
      <c r="B708" s="898"/>
      <c r="C708" s="397" t="s">
        <v>324</v>
      </c>
      <c r="D708" s="884"/>
      <c r="E708" s="399">
        <f>E707*3.4528</f>
        <v>23.858847999999998</v>
      </c>
    </row>
    <row r="709" spans="1:5" ht="12.75" hidden="1" customHeight="1" x14ac:dyDescent="0.25">
      <c r="A709" s="879" t="s">
        <v>60</v>
      </c>
      <c r="B709" s="881" t="s">
        <v>117</v>
      </c>
      <c r="C709" s="445" t="s">
        <v>323</v>
      </c>
      <c r="D709" s="883" t="s">
        <v>121</v>
      </c>
      <c r="E709" s="401">
        <f>E705+E707</f>
        <v>7.07</v>
      </c>
    </row>
    <row r="710" spans="1:5" ht="12.75" hidden="1" customHeight="1" x14ac:dyDescent="0.25">
      <c r="A710" s="880"/>
      <c r="B710" s="882"/>
      <c r="C710" s="397" t="s">
        <v>324</v>
      </c>
      <c r="D710" s="884"/>
      <c r="E710" s="403">
        <v>24.4</v>
      </c>
    </row>
    <row r="711" spans="1:5" ht="12.75" hidden="1" customHeight="1" x14ac:dyDescent="0.25">
      <c r="A711" s="879" t="s">
        <v>72</v>
      </c>
      <c r="B711" s="886" t="s">
        <v>118</v>
      </c>
      <c r="C711" s="445" t="s">
        <v>323</v>
      </c>
      <c r="D711" s="407"/>
      <c r="E711" s="257">
        <f>E709*1.21</f>
        <v>8.5547000000000004</v>
      </c>
    </row>
    <row r="712" spans="1:5" ht="12.75" hidden="1" customHeight="1" thickBot="1" x14ac:dyDescent="0.3">
      <c r="A712" s="885"/>
      <c r="B712" s="887"/>
      <c r="C712" s="451" t="s">
        <v>324</v>
      </c>
      <c r="D712" s="452"/>
      <c r="E712" s="461">
        <v>29.52</v>
      </c>
    </row>
    <row r="713" spans="1:5" hidden="1" x14ac:dyDescent="0.25">
      <c r="A713" s="413"/>
      <c r="B713" s="414"/>
      <c r="C713" s="415"/>
      <c r="D713" s="416"/>
      <c r="E713" s="417"/>
    </row>
    <row r="714" spans="1:5" hidden="1" x14ac:dyDescent="0.25">
      <c r="B714" t="s">
        <v>189</v>
      </c>
      <c r="C714" t="s">
        <v>193</v>
      </c>
      <c r="D714" s="146" t="s">
        <v>190</v>
      </c>
    </row>
    <row r="715" spans="1:5" hidden="1" x14ac:dyDescent="0.25"/>
    <row r="716" spans="1:5" ht="11.25" hidden="1" customHeight="1" x14ac:dyDescent="0.25">
      <c r="D716" s="592" t="s">
        <v>332</v>
      </c>
      <c r="E716" s="592"/>
    </row>
    <row r="717" spans="1:5" ht="11.25" hidden="1" customHeight="1" x14ac:dyDescent="0.25">
      <c r="D717" s="851" t="s">
        <v>333</v>
      </c>
      <c r="E717" s="851"/>
    </row>
    <row r="718" spans="1:5" ht="11.25" hidden="1" customHeight="1" x14ac:dyDescent="0.25">
      <c r="D718" s="851" t="s">
        <v>334</v>
      </c>
      <c r="E718" s="851"/>
    </row>
    <row r="719" spans="1:5" ht="11.25" hidden="1" customHeight="1" x14ac:dyDescent="0.25">
      <c r="D719" s="594" t="s">
        <v>396</v>
      </c>
      <c r="E719" s="520"/>
    </row>
    <row r="720" spans="1:5" ht="6" hidden="1" customHeight="1" x14ac:dyDescent="0.25">
      <c r="A720" s="132"/>
      <c r="B720" s="132"/>
      <c r="E720" s="132"/>
    </row>
    <row r="721" spans="1:5" ht="11.25" hidden="1" customHeight="1" x14ac:dyDescent="0.25">
      <c r="A721" s="132" t="s">
        <v>335</v>
      </c>
      <c r="B721" s="132"/>
      <c r="D721" s="132" t="s">
        <v>336</v>
      </c>
    </row>
    <row r="722" spans="1:5" ht="12.75" hidden="1" customHeight="1" x14ac:dyDescent="0.25">
      <c r="A722" s="132" t="s">
        <v>1</v>
      </c>
      <c r="B722" s="132"/>
      <c r="D722" s="132" t="s">
        <v>305</v>
      </c>
    </row>
    <row r="723" spans="1:5" ht="12.75" hidden="1" customHeight="1" x14ac:dyDescent="0.25">
      <c r="A723" s="132" t="s">
        <v>2</v>
      </c>
      <c r="B723" s="132"/>
      <c r="D723" s="132" t="s">
        <v>339</v>
      </c>
    </row>
    <row r="724" spans="1:5" ht="12.75" hidden="1" customHeight="1" x14ac:dyDescent="0.25">
      <c r="A724" s="132" t="s">
        <v>3</v>
      </c>
      <c r="B724" s="132"/>
      <c r="D724" s="132" t="s">
        <v>169</v>
      </c>
    </row>
    <row r="725" spans="1:5" ht="12.75" hidden="1" customHeight="1" x14ac:dyDescent="0.25">
      <c r="A725" s="132" t="s">
        <v>4</v>
      </c>
      <c r="B725" s="132"/>
      <c r="D725" s="132" t="s">
        <v>317</v>
      </c>
    </row>
    <row r="726" spans="1:5" ht="12.75" hidden="1" customHeight="1" x14ac:dyDescent="0.25">
      <c r="A726" s="132" t="s">
        <v>321</v>
      </c>
      <c r="B726" s="132"/>
      <c r="D726" s="132"/>
    </row>
    <row r="727" spans="1:5" ht="3" hidden="1" customHeight="1" x14ac:dyDescent="0.25">
      <c r="A727" s="132"/>
      <c r="B727" s="132"/>
      <c r="D727" s="132"/>
    </row>
    <row r="728" spans="1:5" ht="15" hidden="1" customHeight="1" x14ac:dyDescent="0.25">
      <c r="A728" s="141"/>
      <c r="B728" s="141" t="s">
        <v>395</v>
      </c>
      <c r="C728" s="141"/>
      <c r="D728" s="141"/>
      <c r="E728" s="141"/>
    </row>
    <row r="729" spans="1:5" s="521" customFormat="1" ht="12.75" hidden="1" customHeight="1" x14ac:dyDescent="0.25">
      <c r="C729" s="644" t="s">
        <v>342</v>
      </c>
      <c r="D729" s="590"/>
    </row>
    <row r="730" spans="1:5" ht="9" hidden="1" customHeight="1" x14ac:dyDescent="0.25">
      <c r="C730" s="591" t="s">
        <v>191</v>
      </c>
    </row>
    <row r="731" spans="1:5" ht="13.5" hidden="1" customHeight="1" x14ac:dyDescent="0.25">
      <c r="A731" s="483" t="s">
        <v>6</v>
      </c>
      <c r="B731" s="2"/>
      <c r="C731" s="2"/>
      <c r="D731" s="2"/>
      <c r="E731" s="522"/>
    </row>
    <row r="732" spans="1:5" hidden="1" x14ac:dyDescent="0.25">
      <c r="A732" s="482" t="s">
        <v>340</v>
      </c>
      <c r="B732" s="1"/>
      <c r="C732" s="1"/>
      <c r="D732" s="1"/>
      <c r="E732" s="463"/>
    </row>
    <row r="733" spans="1:5" ht="6" hidden="1" customHeight="1" x14ac:dyDescent="0.25">
      <c r="A733" s="482"/>
      <c r="B733" s="1"/>
      <c r="C733" s="1"/>
      <c r="D733" s="1"/>
      <c r="E733" s="463"/>
    </row>
    <row r="734" spans="1:5" ht="12" hidden="1" customHeight="1" x14ac:dyDescent="0.25">
      <c r="A734" s="1" t="s">
        <v>7</v>
      </c>
      <c r="B734" s="1"/>
    </row>
    <row r="735" spans="1:5" ht="27" hidden="1" customHeight="1" thickBot="1" x14ac:dyDescent="0.3">
      <c r="A735" s="878" t="s">
        <v>416</v>
      </c>
      <c r="B735" s="878"/>
      <c r="C735" s="878"/>
      <c r="D735" s="878"/>
      <c r="E735" s="878"/>
    </row>
    <row r="736" spans="1:5" s="647" customFormat="1" ht="11.25" hidden="1" customHeight="1" thickBot="1" x14ac:dyDescent="0.3">
      <c r="A736" s="454" t="s">
        <v>8</v>
      </c>
      <c r="B736" s="455" t="s">
        <v>9</v>
      </c>
      <c r="C736" s="455" t="s">
        <v>10</v>
      </c>
      <c r="D736" s="455" t="s">
        <v>11</v>
      </c>
      <c r="E736" s="456" t="s">
        <v>12</v>
      </c>
    </row>
    <row r="737" spans="1:5" s="647" customFormat="1" ht="13.5" hidden="1" customHeight="1" x14ac:dyDescent="0.25">
      <c r="A737" s="302" t="s">
        <v>251</v>
      </c>
      <c r="B737" s="873" t="s">
        <v>256</v>
      </c>
      <c r="C737" s="874"/>
      <c r="D737" s="875"/>
      <c r="E737" s="876"/>
    </row>
    <row r="738" spans="1:5" s="647" customFormat="1" ht="16.5" hidden="1" customHeight="1" x14ac:dyDescent="0.25">
      <c r="A738" s="607" t="s">
        <v>15</v>
      </c>
      <c r="B738" s="608" t="s">
        <v>109</v>
      </c>
      <c r="C738" s="445" t="s">
        <v>397</v>
      </c>
      <c r="D738" s="606" t="s">
        <v>111</v>
      </c>
      <c r="E738" s="648">
        <v>0.16</v>
      </c>
    </row>
    <row r="739" spans="1:5" s="647" customFormat="1" ht="15.75" hidden="1" customHeight="1" x14ac:dyDescent="0.25">
      <c r="A739" s="659" t="s">
        <v>21</v>
      </c>
      <c r="B739" s="645" t="s">
        <v>112</v>
      </c>
      <c r="C739" s="445" t="s">
        <v>397</v>
      </c>
      <c r="D739" s="646" t="s">
        <v>275</v>
      </c>
      <c r="E739" s="649">
        <v>7.03</v>
      </c>
    </row>
    <row r="740" spans="1:5" s="647" customFormat="1" ht="13.5" hidden="1" customHeight="1" x14ac:dyDescent="0.25">
      <c r="A740" s="386" t="s">
        <v>60</v>
      </c>
      <c r="B740" s="389" t="s">
        <v>113</v>
      </c>
      <c r="C740" s="650" t="s">
        <v>292</v>
      </c>
      <c r="D740" s="387"/>
      <c r="E740" s="651">
        <v>7.62</v>
      </c>
    </row>
    <row r="741" spans="1:5" s="647" customFormat="1" ht="14.25" hidden="1" customHeight="1" x14ac:dyDescent="0.25">
      <c r="A741" s="300" t="s">
        <v>72</v>
      </c>
      <c r="B741" s="65" t="s">
        <v>114</v>
      </c>
      <c r="C741" s="144" t="s">
        <v>398</v>
      </c>
      <c r="D741" s="144" t="s">
        <v>414</v>
      </c>
      <c r="E741" s="652">
        <v>2.82</v>
      </c>
    </row>
    <row r="742" spans="1:5" s="647" customFormat="1" ht="13.5" hidden="1" customHeight="1" x14ac:dyDescent="0.25">
      <c r="A742" s="392" t="s">
        <v>115</v>
      </c>
      <c r="B742" s="388" t="s">
        <v>116</v>
      </c>
      <c r="C742" s="144" t="s">
        <v>398</v>
      </c>
      <c r="D742" s="402" t="s">
        <v>188</v>
      </c>
      <c r="E742" s="653">
        <v>3.78</v>
      </c>
    </row>
    <row r="743" spans="1:5" s="647" customFormat="1" ht="12.75" hidden="1" customHeight="1" x14ac:dyDescent="0.25">
      <c r="A743" s="879" t="s">
        <v>84</v>
      </c>
      <c r="B743" s="881" t="s">
        <v>117</v>
      </c>
      <c r="C743" s="144" t="s">
        <v>398</v>
      </c>
      <c r="D743" s="883" t="s">
        <v>121</v>
      </c>
      <c r="E743" s="654">
        <f>E738+E739</f>
        <v>7.19</v>
      </c>
    </row>
    <row r="744" spans="1:5" s="647" customFormat="1" ht="12.75" hidden="1" customHeight="1" x14ac:dyDescent="0.25">
      <c r="A744" s="880"/>
      <c r="B744" s="882"/>
      <c r="C744" s="397" t="s">
        <v>415</v>
      </c>
      <c r="D744" s="884"/>
      <c r="E744" s="450">
        <f>E743*3.4528</f>
        <v>24.825631999999999</v>
      </c>
    </row>
    <row r="745" spans="1:5" s="647" customFormat="1" ht="12.75" hidden="1" customHeight="1" x14ac:dyDescent="0.25">
      <c r="A745" s="879" t="s">
        <v>85</v>
      </c>
      <c r="B745" s="886" t="s">
        <v>118</v>
      </c>
      <c r="C745" s="144" t="s">
        <v>398</v>
      </c>
      <c r="D745" s="65"/>
      <c r="E745" s="654">
        <f>E743*1.09</f>
        <v>7.8371000000000013</v>
      </c>
    </row>
    <row r="746" spans="1:5" s="647" customFormat="1" ht="12.75" hidden="1" customHeight="1" x14ac:dyDescent="0.25">
      <c r="A746" s="880"/>
      <c r="B746" s="888"/>
      <c r="C746" s="397" t="s">
        <v>415</v>
      </c>
      <c r="D746" s="389"/>
      <c r="E746" s="450">
        <f>E745*3.4528</f>
        <v>27.059938880000004</v>
      </c>
    </row>
    <row r="747" spans="1:5" s="647" customFormat="1" ht="12.75" hidden="1" customHeight="1" x14ac:dyDescent="0.25">
      <c r="A747" s="879" t="s">
        <v>87</v>
      </c>
      <c r="B747" s="886" t="s">
        <v>119</v>
      </c>
      <c r="C747" s="144" t="s">
        <v>398</v>
      </c>
      <c r="D747" s="389"/>
      <c r="E747" s="655">
        <v>7.28</v>
      </c>
    </row>
    <row r="748" spans="1:5" s="647" customFormat="1" ht="12.75" hidden="1" customHeight="1" x14ac:dyDescent="0.25">
      <c r="A748" s="880"/>
      <c r="B748" s="888"/>
      <c r="C748" s="397" t="s">
        <v>415</v>
      </c>
      <c r="D748" s="389"/>
      <c r="E748" s="450">
        <f>E747*3.4528</f>
        <v>25.136384</v>
      </c>
    </row>
    <row r="749" spans="1:5" s="647" customFormat="1" hidden="1" x14ac:dyDescent="0.25">
      <c r="A749" s="256" t="s">
        <v>89</v>
      </c>
      <c r="B749" s="65" t="s">
        <v>120</v>
      </c>
      <c r="C749" s="76" t="s">
        <v>95</v>
      </c>
      <c r="D749" s="65"/>
      <c r="E749" s="655">
        <f>(E743/E747)*100-100</f>
        <v>-1.2362637362637372</v>
      </c>
    </row>
    <row r="750" spans="1:5" s="647" customFormat="1" ht="13.5" hidden="1" customHeight="1" x14ac:dyDescent="0.25">
      <c r="A750" s="302" t="s">
        <v>252</v>
      </c>
      <c r="B750" s="873" t="s">
        <v>249</v>
      </c>
      <c r="C750" s="874"/>
      <c r="D750" s="875"/>
      <c r="E750" s="876"/>
    </row>
    <row r="751" spans="1:5" s="647" customFormat="1" ht="14.25" hidden="1" customHeight="1" x14ac:dyDescent="0.25">
      <c r="A751" s="607" t="s">
        <v>15</v>
      </c>
      <c r="B751" s="608" t="s">
        <v>109</v>
      </c>
      <c r="C751" s="445" t="s">
        <v>323</v>
      </c>
      <c r="D751" s="606" t="s">
        <v>111</v>
      </c>
      <c r="E751" s="656">
        <v>0.16</v>
      </c>
    </row>
    <row r="752" spans="1:5" s="647" customFormat="1" ht="15.75" hidden="1" customHeight="1" x14ac:dyDescent="0.25">
      <c r="A752" s="607" t="s">
        <v>21</v>
      </c>
      <c r="B752" s="609" t="s">
        <v>112</v>
      </c>
      <c r="C752" s="445" t="s">
        <v>323</v>
      </c>
      <c r="D752" s="606" t="s">
        <v>325</v>
      </c>
      <c r="E752" s="649">
        <v>6.83</v>
      </c>
    </row>
    <row r="753" spans="1:5" s="647" customFormat="1" ht="12.75" hidden="1" customHeight="1" x14ac:dyDescent="0.25">
      <c r="A753" s="879" t="s">
        <v>60</v>
      </c>
      <c r="B753" s="881" t="s">
        <v>117</v>
      </c>
      <c r="C753" s="445" t="s">
        <v>323</v>
      </c>
      <c r="D753" s="883" t="s">
        <v>121</v>
      </c>
      <c r="E753" s="654">
        <f>E751+E752</f>
        <v>6.99</v>
      </c>
    </row>
    <row r="754" spans="1:5" s="647" customFormat="1" ht="12.75" hidden="1" customHeight="1" x14ac:dyDescent="0.25">
      <c r="A754" s="880"/>
      <c r="B754" s="882"/>
      <c r="C754" s="397" t="s">
        <v>415</v>
      </c>
      <c r="D754" s="884"/>
      <c r="E754" s="450">
        <v>24.14</v>
      </c>
    </row>
    <row r="755" spans="1:5" s="647" customFormat="1" ht="12.75" hidden="1" customHeight="1" x14ac:dyDescent="0.25">
      <c r="A755" s="879" t="s">
        <v>72</v>
      </c>
      <c r="B755" s="886" t="s">
        <v>118</v>
      </c>
      <c r="C755" s="445" t="s">
        <v>323</v>
      </c>
      <c r="D755" s="65"/>
      <c r="E755" s="657">
        <f>E753*1.21</f>
        <v>8.4579000000000004</v>
      </c>
    </row>
    <row r="756" spans="1:5" s="647" customFormat="1" ht="12.75" hidden="1" customHeight="1" thickBot="1" x14ac:dyDescent="0.3">
      <c r="A756" s="885"/>
      <c r="B756" s="887"/>
      <c r="C756" s="451" t="s">
        <v>415</v>
      </c>
      <c r="D756" s="452"/>
      <c r="E756" s="658">
        <v>29.21</v>
      </c>
    </row>
    <row r="757" spans="1:5" ht="11.25" hidden="1" customHeight="1" x14ac:dyDescent="0.25">
      <c r="A757" s="413"/>
      <c r="B757" s="414"/>
      <c r="C757" s="415"/>
      <c r="D757" s="416"/>
      <c r="E757" s="417"/>
    </row>
    <row r="758" spans="1:5" hidden="1" x14ac:dyDescent="0.25">
      <c r="B758" t="s">
        <v>189</v>
      </c>
      <c r="C758" t="s">
        <v>193</v>
      </c>
      <c r="D758" s="146" t="s">
        <v>190</v>
      </c>
    </row>
    <row r="759" spans="1:5" hidden="1" x14ac:dyDescent="0.25"/>
    <row r="760" spans="1:5" ht="11.25" hidden="1" customHeight="1" x14ac:dyDescent="0.25">
      <c r="D760" s="592" t="s">
        <v>332</v>
      </c>
      <c r="E760" s="592"/>
    </row>
    <row r="761" spans="1:5" ht="11.25" hidden="1" customHeight="1" x14ac:dyDescent="0.25">
      <c r="D761" s="851" t="s">
        <v>333</v>
      </c>
      <c r="E761" s="851"/>
    </row>
    <row r="762" spans="1:5" ht="11.25" hidden="1" customHeight="1" x14ac:dyDescent="0.25">
      <c r="D762" s="851" t="s">
        <v>334</v>
      </c>
      <c r="E762" s="851"/>
    </row>
    <row r="763" spans="1:5" ht="11.25" hidden="1" customHeight="1" x14ac:dyDescent="0.25">
      <c r="D763" s="612" t="s">
        <v>396</v>
      </c>
      <c r="E763" s="520"/>
    </row>
    <row r="764" spans="1:5" ht="6" hidden="1" customHeight="1" x14ac:dyDescent="0.25">
      <c r="A764" s="132"/>
      <c r="B764" s="132"/>
      <c r="E764" s="132"/>
    </row>
    <row r="765" spans="1:5" ht="11.25" hidden="1" customHeight="1" x14ac:dyDescent="0.25">
      <c r="A765" s="132" t="s">
        <v>335</v>
      </c>
      <c r="B765" s="132"/>
      <c r="D765" s="132" t="s">
        <v>336</v>
      </c>
    </row>
    <row r="766" spans="1:5" ht="12.75" hidden="1" customHeight="1" x14ac:dyDescent="0.25">
      <c r="A766" s="132" t="s">
        <v>1</v>
      </c>
      <c r="B766" s="132"/>
      <c r="D766" s="132" t="s">
        <v>305</v>
      </c>
    </row>
    <row r="767" spans="1:5" ht="12.75" hidden="1" customHeight="1" x14ac:dyDescent="0.25">
      <c r="A767" s="132" t="s">
        <v>2</v>
      </c>
      <c r="B767" s="132"/>
      <c r="D767" s="132" t="s">
        <v>339</v>
      </c>
    </row>
    <row r="768" spans="1:5" ht="12.75" hidden="1" customHeight="1" x14ac:dyDescent="0.25">
      <c r="A768" s="132" t="s">
        <v>3</v>
      </c>
      <c r="B768" s="132"/>
      <c r="D768" s="132" t="s">
        <v>169</v>
      </c>
    </row>
    <row r="769" spans="1:5" ht="12.75" hidden="1" customHeight="1" x14ac:dyDescent="0.25">
      <c r="A769" s="132" t="s">
        <v>4</v>
      </c>
      <c r="B769" s="132"/>
      <c r="D769" s="132" t="s">
        <v>317</v>
      </c>
    </row>
    <row r="770" spans="1:5" ht="12.75" hidden="1" customHeight="1" x14ac:dyDescent="0.25">
      <c r="A770" s="132" t="s">
        <v>321</v>
      </c>
      <c r="B770" s="132"/>
      <c r="D770" s="132"/>
    </row>
    <row r="771" spans="1:5" ht="3" hidden="1" customHeight="1" x14ac:dyDescent="0.25">
      <c r="A771" s="132"/>
      <c r="B771" s="132"/>
      <c r="D771" s="132"/>
    </row>
    <row r="772" spans="1:5" ht="15" hidden="1" customHeight="1" x14ac:dyDescent="0.25">
      <c r="A772" s="141"/>
      <c r="B772" s="141" t="s">
        <v>419</v>
      </c>
      <c r="C772" s="141"/>
      <c r="D772" s="141"/>
      <c r="E772" s="141"/>
    </row>
    <row r="773" spans="1:5" s="521" customFormat="1" ht="12.75" hidden="1" customHeight="1" x14ac:dyDescent="0.25">
      <c r="C773" s="644" t="s">
        <v>418</v>
      </c>
      <c r="D773" s="590"/>
    </row>
    <row r="774" spans="1:5" ht="9" hidden="1" customHeight="1" x14ac:dyDescent="0.25">
      <c r="C774" s="591" t="s">
        <v>191</v>
      </c>
    </row>
    <row r="775" spans="1:5" ht="13.5" hidden="1" customHeight="1" x14ac:dyDescent="0.25">
      <c r="A775" s="483" t="s">
        <v>6</v>
      </c>
      <c r="B775" s="2"/>
      <c r="C775" s="2"/>
      <c r="D775" s="2"/>
      <c r="E775" s="522"/>
    </row>
    <row r="776" spans="1:5" hidden="1" x14ac:dyDescent="0.25">
      <c r="A776" s="482" t="s">
        <v>340</v>
      </c>
      <c r="B776" s="1"/>
      <c r="C776" s="1"/>
      <c r="D776" s="1"/>
      <c r="E776" s="463"/>
    </row>
    <row r="777" spans="1:5" ht="6" hidden="1" customHeight="1" x14ac:dyDescent="0.25">
      <c r="A777" s="482"/>
      <c r="B777" s="1"/>
      <c r="C777" s="1"/>
      <c r="D777" s="1"/>
      <c r="E777" s="463"/>
    </row>
    <row r="778" spans="1:5" ht="12" hidden="1" customHeight="1" x14ac:dyDescent="0.25">
      <c r="A778" s="1" t="s">
        <v>7</v>
      </c>
      <c r="B778" s="1"/>
    </row>
    <row r="779" spans="1:5" ht="27" hidden="1" customHeight="1" thickBot="1" x14ac:dyDescent="0.3">
      <c r="A779" s="878" t="s">
        <v>416</v>
      </c>
      <c r="B779" s="878"/>
      <c r="C779" s="878"/>
      <c r="D779" s="878"/>
      <c r="E779" s="878"/>
    </row>
    <row r="780" spans="1:5" s="647" customFormat="1" ht="11.25" hidden="1" customHeight="1" thickBot="1" x14ac:dyDescent="0.3">
      <c r="A780" s="454" t="s">
        <v>8</v>
      </c>
      <c r="B780" s="455" t="s">
        <v>9</v>
      </c>
      <c r="C780" s="455" t="s">
        <v>10</v>
      </c>
      <c r="D780" s="455" t="s">
        <v>11</v>
      </c>
      <c r="E780" s="456" t="s">
        <v>12</v>
      </c>
    </row>
    <row r="781" spans="1:5" s="647" customFormat="1" ht="13.5" hidden="1" customHeight="1" x14ac:dyDescent="0.25">
      <c r="A781" s="302" t="s">
        <v>251</v>
      </c>
      <c r="B781" s="873" t="s">
        <v>256</v>
      </c>
      <c r="C781" s="874"/>
      <c r="D781" s="875"/>
      <c r="E781" s="876"/>
    </row>
    <row r="782" spans="1:5" s="647" customFormat="1" ht="16.5" hidden="1" customHeight="1" x14ac:dyDescent="0.25">
      <c r="A782" s="615" t="s">
        <v>15</v>
      </c>
      <c r="B782" s="608" t="s">
        <v>109</v>
      </c>
      <c r="C782" s="445" t="s">
        <v>397</v>
      </c>
      <c r="D782" s="613" t="s">
        <v>111</v>
      </c>
      <c r="E782" s="648">
        <v>0.16</v>
      </c>
    </row>
    <row r="783" spans="1:5" s="647" customFormat="1" ht="15.75" hidden="1" customHeight="1" x14ac:dyDescent="0.25">
      <c r="A783" s="659" t="s">
        <v>21</v>
      </c>
      <c r="B783" s="645" t="s">
        <v>112</v>
      </c>
      <c r="C783" s="445" t="s">
        <v>397</v>
      </c>
      <c r="D783" s="646" t="s">
        <v>275</v>
      </c>
      <c r="E783" s="649">
        <f>ROUND(52.69*E784/100,2)+ROUND(1.03*E785,2)+ROUND(0.032*E786,2)</f>
        <v>7.2500000000000009</v>
      </c>
    </row>
    <row r="784" spans="1:5" s="647" customFormat="1" ht="13.5" hidden="1" customHeight="1" x14ac:dyDescent="0.25">
      <c r="A784" s="386" t="s">
        <v>60</v>
      </c>
      <c r="B784" s="389" t="s">
        <v>113</v>
      </c>
      <c r="C784" s="650" t="s">
        <v>292</v>
      </c>
      <c r="D784" s="387"/>
      <c r="E784" s="651">
        <v>8.0299999999999994</v>
      </c>
    </row>
    <row r="785" spans="1:5" s="647" customFormat="1" ht="14.25" hidden="1" customHeight="1" x14ac:dyDescent="0.25">
      <c r="A785" s="300" t="s">
        <v>72</v>
      </c>
      <c r="B785" s="65" t="s">
        <v>114</v>
      </c>
      <c r="C785" s="144" t="s">
        <v>398</v>
      </c>
      <c r="D785" s="144" t="s">
        <v>414</v>
      </c>
      <c r="E785" s="652">
        <v>2.82</v>
      </c>
    </row>
    <row r="786" spans="1:5" s="647" customFormat="1" ht="13.5" hidden="1" customHeight="1" x14ac:dyDescent="0.25">
      <c r="A786" s="392" t="s">
        <v>115</v>
      </c>
      <c r="B786" s="388" t="s">
        <v>116</v>
      </c>
      <c r="C786" s="144" t="s">
        <v>398</v>
      </c>
      <c r="D786" s="402" t="s">
        <v>188</v>
      </c>
      <c r="E786" s="653">
        <v>3.78</v>
      </c>
    </row>
    <row r="787" spans="1:5" s="647" customFormat="1" ht="12.75" hidden="1" customHeight="1" x14ac:dyDescent="0.25">
      <c r="A787" s="879" t="s">
        <v>84</v>
      </c>
      <c r="B787" s="881" t="s">
        <v>117</v>
      </c>
      <c r="C787" s="144" t="s">
        <v>398</v>
      </c>
      <c r="D787" s="883" t="s">
        <v>121</v>
      </c>
      <c r="E787" s="654">
        <f>E782+E783</f>
        <v>7.410000000000001</v>
      </c>
    </row>
    <row r="788" spans="1:5" s="647" customFormat="1" ht="12.75" hidden="1" customHeight="1" x14ac:dyDescent="0.25">
      <c r="A788" s="880"/>
      <c r="B788" s="882"/>
      <c r="C788" s="397" t="s">
        <v>415</v>
      </c>
      <c r="D788" s="884"/>
      <c r="E788" s="450">
        <f>E787*3.4528</f>
        <v>25.585248000000004</v>
      </c>
    </row>
    <row r="789" spans="1:5" s="647" customFormat="1" ht="12.75" hidden="1" customHeight="1" x14ac:dyDescent="0.25">
      <c r="A789" s="879" t="s">
        <v>85</v>
      </c>
      <c r="B789" s="886" t="s">
        <v>118</v>
      </c>
      <c r="C789" s="144" t="s">
        <v>398</v>
      </c>
      <c r="D789" s="65"/>
      <c r="E789" s="654">
        <f>E787*1.09</f>
        <v>8.076900000000002</v>
      </c>
    </row>
    <row r="790" spans="1:5" s="647" customFormat="1" ht="12.75" hidden="1" customHeight="1" x14ac:dyDescent="0.25">
      <c r="A790" s="880"/>
      <c r="B790" s="888"/>
      <c r="C790" s="397" t="s">
        <v>415</v>
      </c>
      <c r="D790" s="389"/>
      <c r="E790" s="450">
        <f>E789*3.4528</f>
        <v>27.887920320000006</v>
      </c>
    </row>
    <row r="791" spans="1:5" s="647" customFormat="1" ht="12.75" hidden="1" customHeight="1" x14ac:dyDescent="0.25">
      <c r="A791" s="879" t="s">
        <v>87</v>
      </c>
      <c r="B791" s="886" t="s">
        <v>119</v>
      </c>
      <c r="C791" s="144" t="s">
        <v>398</v>
      </c>
      <c r="D791" s="389"/>
      <c r="E791" s="655">
        <v>7.19</v>
      </c>
    </row>
    <row r="792" spans="1:5" s="647" customFormat="1" ht="12.75" hidden="1" customHeight="1" x14ac:dyDescent="0.25">
      <c r="A792" s="880"/>
      <c r="B792" s="888"/>
      <c r="C792" s="397" t="s">
        <v>415</v>
      </c>
      <c r="D792" s="389"/>
      <c r="E792" s="450">
        <f>E791*3.4528</f>
        <v>24.825631999999999</v>
      </c>
    </row>
    <row r="793" spans="1:5" s="647" customFormat="1" hidden="1" x14ac:dyDescent="0.25">
      <c r="A793" s="256" t="s">
        <v>89</v>
      </c>
      <c r="B793" s="65" t="s">
        <v>120</v>
      </c>
      <c r="C793" s="76" t="s">
        <v>95</v>
      </c>
      <c r="D793" s="65"/>
      <c r="E793" s="655">
        <f>(E787/E791)*100-100</f>
        <v>3.059805285118216</v>
      </c>
    </row>
    <row r="794" spans="1:5" s="647" customFormat="1" ht="13.5" hidden="1" customHeight="1" x14ac:dyDescent="0.25">
      <c r="A794" s="302" t="s">
        <v>252</v>
      </c>
      <c r="B794" s="873" t="s">
        <v>249</v>
      </c>
      <c r="C794" s="874"/>
      <c r="D794" s="875"/>
      <c r="E794" s="876"/>
    </row>
    <row r="795" spans="1:5" s="647" customFormat="1" ht="14.25" hidden="1" customHeight="1" x14ac:dyDescent="0.25">
      <c r="A795" s="615" t="s">
        <v>15</v>
      </c>
      <c r="B795" s="608" t="s">
        <v>109</v>
      </c>
      <c r="C795" s="445" t="s">
        <v>323</v>
      </c>
      <c r="D795" s="613" t="s">
        <v>111</v>
      </c>
      <c r="E795" s="656">
        <v>0.16</v>
      </c>
    </row>
    <row r="796" spans="1:5" s="647" customFormat="1" ht="15.75" hidden="1" customHeight="1" x14ac:dyDescent="0.25">
      <c r="A796" s="615" t="s">
        <v>21</v>
      </c>
      <c r="B796" s="614" t="s">
        <v>112</v>
      </c>
      <c r="C796" s="445" t="s">
        <v>323</v>
      </c>
      <c r="D796" s="613" t="s">
        <v>325</v>
      </c>
      <c r="E796" s="649">
        <f>51*E784/100+1*E785+0.032*E786</f>
        <v>7.0362600000000004</v>
      </c>
    </row>
    <row r="797" spans="1:5" s="647" customFormat="1" ht="12.75" hidden="1" customHeight="1" x14ac:dyDescent="0.25">
      <c r="A797" s="879" t="s">
        <v>60</v>
      </c>
      <c r="B797" s="881" t="s">
        <v>117</v>
      </c>
      <c r="C797" s="445" t="s">
        <v>323</v>
      </c>
      <c r="D797" s="883" t="s">
        <v>121</v>
      </c>
      <c r="E797" s="654">
        <f>E795+E796</f>
        <v>7.1962600000000005</v>
      </c>
    </row>
    <row r="798" spans="1:5" s="647" customFormat="1" ht="12.75" hidden="1" customHeight="1" x14ac:dyDescent="0.25">
      <c r="A798" s="880"/>
      <c r="B798" s="882"/>
      <c r="C798" s="397" t="s">
        <v>415</v>
      </c>
      <c r="D798" s="884"/>
      <c r="E798" s="450">
        <f>+E797*3.4528</f>
        <v>24.847246527999999</v>
      </c>
    </row>
    <row r="799" spans="1:5" s="647" customFormat="1" ht="12.75" hidden="1" customHeight="1" x14ac:dyDescent="0.25">
      <c r="A799" s="879" t="s">
        <v>72</v>
      </c>
      <c r="B799" s="886" t="s">
        <v>118</v>
      </c>
      <c r="C799" s="445" t="s">
        <v>323</v>
      </c>
      <c r="D799" s="65"/>
      <c r="E799" s="657">
        <f>E797*1.21</f>
        <v>8.7074746000000012</v>
      </c>
    </row>
    <row r="800" spans="1:5" s="647" customFormat="1" ht="12.75" hidden="1" customHeight="1" thickBot="1" x14ac:dyDescent="0.3">
      <c r="A800" s="885"/>
      <c r="B800" s="887"/>
      <c r="C800" s="451" t="s">
        <v>415</v>
      </c>
      <c r="D800" s="452"/>
      <c r="E800" s="658">
        <f>+E799*3.4528</f>
        <v>30.065168298880003</v>
      </c>
    </row>
    <row r="801" spans="1:5" ht="11.25" hidden="1" customHeight="1" x14ac:dyDescent="0.25">
      <c r="A801" s="413"/>
      <c r="B801" s="414"/>
      <c r="C801" s="415"/>
      <c r="D801" s="416"/>
      <c r="E801" s="417"/>
    </row>
    <row r="802" spans="1:5" hidden="1" x14ac:dyDescent="0.25">
      <c r="B802" t="s">
        <v>189</v>
      </c>
      <c r="C802" t="s">
        <v>193</v>
      </c>
      <c r="D802" s="146" t="s">
        <v>190</v>
      </c>
    </row>
    <row r="803" spans="1:5" hidden="1" x14ac:dyDescent="0.25"/>
    <row r="804" spans="1:5" ht="11.25" hidden="1" customHeight="1" x14ac:dyDescent="0.25">
      <c r="D804" s="592" t="s">
        <v>332</v>
      </c>
      <c r="E804" s="592"/>
    </row>
    <row r="805" spans="1:5" ht="11.25" hidden="1" customHeight="1" x14ac:dyDescent="0.25">
      <c r="D805" s="851" t="s">
        <v>333</v>
      </c>
      <c r="E805" s="851"/>
    </row>
    <row r="806" spans="1:5" ht="11.25" hidden="1" customHeight="1" x14ac:dyDescent="0.25">
      <c r="D806" s="851" t="s">
        <v>334</v>
      </c>
      <c r="E806" s="851"/>
    </row>
    <row r="807" spans="1:5" ht="11.25" hidden="1" customHeight="1" x14ac:dyDescent="0.25">
      <c r="D807" s="660" t="s">
        <v>396</v>
      </c>
      <c r="E807" s="520"/>
    </row>
    <row r="808" spans="1:5" ht="6" hidden="1" customHeight="1" x14ac:dyDescent="0.25">
      <c r="A808" s="132"/>
      <c r="B808" s="132"/>
      <c r="E808" s="132"/>
    </row>
    <row r="809" spans="1:5" ht="11.25" hidden="1" customHeight="1" x14ac:dyDescent="0.25">
      <c r="A809" s="132" t="s">
        <v>335</v>
      </c>
      <c r="B809" s="132"/>
      <c r="D809" s="132" t="s">
        <v>336</v>
      </c>
    </row>
    <row r="810" spans="1:5" ht="12.75" hidden="1" customHeight="1" x14ac:dyDescent="0.25">
      <c r="A810" s="132" t="s">
        <v>1</v>
      </c>
      <c r="B810" s="132"/>
      <c r="D810" s="132" t="s">
        <v>305</v>
      </c>
    </row>
    <row r="811" spans="1:5" ht="12.75" hidden="1" customHeight="1" x14ac:dyDescent="0.25">
      <c r="A811" s="132" t="s">
        <v>2</v>
      </c>
      <c r="B811" s="132"/>
      <c r="D811" s="132" t="s">
        <v>339</v>
      </c>
    </row>
    <row r="812" spans="1:5" ht="12.75" hidden="1" customHeight="1" x14ac:dyDescent="0.25">
      <c r="A812" s="132" t="s">
        <v>3</v>
      </c>
      <c r="B812" s="132"/>
      <c r="D812" s="132" t="s">
        <v>169</v>
      </c>
    </row>
    <row r="813" spans="1:5" ht="12.75" hidden="1" customHeight="1" x14ac:dyDescent="0.25">
      <c r="A813" s="132" t="s">
        <v>4</v>
      </c>
      <c r="B813" s="132"/>
      <c r="D813" s="132" t="s">
        <v>317</v>
      </c>
    </row>
    <row r="814" spans="1:5" ht="12.75" hidden="1" customHeight="1" x14ac:dyDescent="0.25">
      <c r="A814" s="132" t="s">
        <v>321</v>
      </c>
      <c r="B814" s="132"/>
      <c r="D814" s="132"/>
    </row>
    <row r="815" spans="1:5" ht="3" hidden="1" customHeight="1" x14ac:dyDescent="0.25">
      <c r="A815" s="132"/>
      <c r="B815" s="132"/>
      <c r="D815" s="132"/>
    </row>
    <row r="816" spans="1:5" ht="15" hidden="1" customHeight="1" x14ac:dyDescent="0.25">
      <c r="A816" s="141"/>
      <c r="B816" s="141" t="s">
        <v>422</v>
      </c>
      <c r="C816" s="141"/>
      <c r="D816" s="141"/>
      <c r="E816" s="141"/>
    </row>
    <row r="817" spans="1:5" s="521" customFormat="1" ht="12.75" hidden="1" customHeight="1" x14ac:dyDescent="0.25">
      <c r="C817" s="644" t="s">
        <v>421</v>
      </c>
      <c r="D817" s="590"/>
    </row>
    <row r="818" spans="1:5" ht="9" hidden="1" customHeight="1" x14ac:dyDescent="0.25">
      <c r="C818" s="591" t="s">
        <v>191</v>
      </c>
    </row>
    <row r="819" spans="1:5" ht="13.5" hidden="1" customHeight="1" x14ac:dyDescent="0.25">
      <c r="A819" s="483" t="s">
        <v>6</v>
      </c>
      <c r="B819" s="2"/>
      <c r="C819" s="2"/>
      <c r="D819" s="2"/>
      <c r="E819" s="522"/>
    </row>
    <row r="820" spans="1:5" hidden="1" x14ac:dyDescent="0.25">
      <c r="A820" s="482" t="s">
        <v>340</v>
      </c>
      <c r="B820" s="1"/>
      <c r="C820" s="1"/>
      <c r="D820" s="1"/>
      <c r="E820" s="463"/>
    </row>
    <row r="821" spans="1:5" ht="6" hidden="1" customHeight="1" x14ac:dyDescent="0.25">
      <c r="A821" s="482"/>
      <c r="B821" s="1"/>
      <c r="C821" s="1"/>
      <c r="D821" s="1"/>
      <c r="E821" s="463"/>
    </row>
    <row r="822" spans="1:5" ht="12" hidden="1" customHeight="1" x14ac:dyDescent="0.25">
      <c r="A822" s="1" t="s">
        <v>7</v>
      </c>
      <c r="B822" s="1"/>
    </row>
    <row r="823" spans="1:5" ht="18.75" hidden="1" customHeight="1" thickBot="1" x14ac:dyDescent="0.3">
      <c r="A823" s="878" t="s">
        <v>423</v>
      </c>
      <c r="B823" s="878"/>
      <c r="C823" s="878"/>
      <c r="D823" s="878"/>
      <c r="E823" s="878"/>
    </row>
    <row r="824" spans="1:5" s="647" customFormat="1" ht="11.25" hidden="1" customHeight="1" thickBot="1" x14ac:dyDescent="0.3">
      <c r="A824" s="454" t="s">
        <v>8</v>
      </c>
      <c r="B824" s="455" t="s">
        <v>9</v>
      </c>
      <c r="C824" s="455" t="s">
        <v>10</v>
      </c>
      <c r="D824" s="455" t="s">
        <v>11</v>
      </c>
      <c r="E824" s="456" t="s">
        <v>12</v>
      </c>
    </row>
    <row r="825" spans="1:5" s="647" customFormat="1" ht="13.5" hidden="1" customHeight="1" x14ac:dyDescent="0.25">
      <c r="A825" s="302" t="s">
        <v>251</v>
      </c>
      <c r="B825" s="873" t="s">
        <v>256</v>
      </c>
      <c r="C825" s="874"/>
      <c r="D825" s="875"/>
      <c r="E825" s="876"/>
    </row>
    <row r="826" spans="1:5" s="647" customFormat="1" ht="16.5" hidden="1" customHeight="1" x14ac:dyDescent="0.25">
      <c r="A826" s="663" t="s">
        <v>15</v>
      </c>
      <c r="B826" s="608" t="s">
        <v>109</v>
      </c>
      <c r="C826" s="445" t="s">
        <v>397</v>
      </c>
      <c r="D826" s="662" t="s">
        <v>111</v>
      </c>
      <c r="E826" s="649">
        <v>0.2</v>
      </c>
    </row>
    <row r="827" spans="1:5" s="647" customFormat="1" ht="15.75" hidden="1" customHeight="1" x14ac:dyDescent="0.25">
      <c r="A827" s="659" t="s">
        <v>21</v>
      </c>
      <c r="B827" s="645" t="s">
        <v>112</v>
      </c>
      <c r="C827" s="445" t="s">
        <v>397</v>
      </c>
      <c r="D827" s="646" t="s">
        <v>424</v>
      </c>
      <c r="E827" s="649">
        <f>ROUND(51.85*E828/100,2)+ROUND(1.017*E829,2)+ROUND(0.034*E830,2)</f>
        <v>7</v>
      </c>
    </row>
    <row r="828" spans="1:5" s="647" customFormat="1" ht="13.5" hidden="1" customHeight="1" x14ac:dyDescent="0.25">
      <c r="A828" s="386" t="s">
        <v>60</v>
      </c>
      <c r="B828" s="389" t="s">
        <v>113</v>
      </c>
      <c r="C828" s="650" t="s">
        <v>292</v>
      </c>
      <c r="D828" s="387"/>
      <c r="E828" s="651">
        <v>7.72</v>
      </c>
    </row>
    <row r="829" spans="1:5" s="647" customFormat="1" ht="14.25" hidden="1" customHeight="1" x14ac:dyDescent="0.25">
      <c r="A829" s="300" t="s">
        <v>72</v>
      </c>
      <c r="B829" s="65" t="s">
        <v>114</v>
      </c>
      <c r="C829" s="144" t="s">
        <v>398</v>
      </c>
      <c r="D829" s="144" t="s">
        <v>414</v>
      </c>
      <c r="E829" s="652">
        <v>2.82</v>
      </c>
    </row>
    <row r="830" spans="1:5" s="647" customFormat="1" ht="13.5" hidden="1" customHeight="1" x14ac:dyDescent="0.25">
      <c r="A830" s="392" t="s">
        <v>115</v>
      </c>
      <c r="B830" s="388" t="s">
        <v>116</v>
      </c>
      <c r="C830" s="144" t="s">
        <v>398</v>
      </c>
      <c r="D830" s="402" t="s">
        <v>188</v>
      </c>
      <c r="E830" s="653">
        <v>3.78</v>
      </c>
    </row>
    <row r="831" spans="1:5" s="647" customFormat="1" ht="12.75" hidden="1" customHeight="1" x14ac:dyDescent="0.25">
      <c r="A831" s="879" t="s">
        <v>84</v>
      </c>
      <c r="B831" s="881" t="s">
        <v>117</v>
      </c>
      <c r="C831" s="144" t="s">
        <v>398</v>
      </c>
      <c r="D831" s="883" t="s">
        <v>121</v>
      </c>
      <c r="E831" s="654">
        <f>E826+E827</f>
        <v>7.2</v>
      </c>
    </row>
    <row r="832" spans="1:5" s="647" customFormat="1" ht="12.75" hidden="1" customHeight="1" x14ac:dyDescent="0.25">
      <c r="A832" s="880"/>
      <c r="B832" s="882"/>
      <c r="C832" s="397" t="s">
        <v>415</v>
      </c>
      <c r="D832" s="884"/>
      <c r="E832" s="450">
        <f>E831*3.4528</f>
        <v>24.86016</v>
      </c>
    </row>
    <row r="833" spans="1:5" s="647" customFormat="1" ht="12.75" hidden="1" customHeight="1" x14ac:dyDescent="0.25">
      <c r="A833" s="879" t="s">
        <v>85</v>
      </c>
      <c r="B833" s="886" t="s">
        <v>118</v>
      </c>
      <c r="C833" s="144" t="s">
        <v>398</v>
      </c>
      <c r="D833" s="65"/>
      <c r="E833" s="654">
        <f>E831*1.09</f>
        <v>7.8480000000000008</v>
      </c>
    </row>
    <row r="834" spans="1:5" s="647" customFormat="1" ht="12.75" hidden="1" customHeight="1" x14ac:dyDescent="0.25">
      <c r="A834" s="880"/>
      <c r="B834" s="888"/>
      <c r="C834" s="397" t="s">
        <v>415</v>
      </c>
      <c r="D834" s="389"/>
      <c r="E834" s="450">
        <f>E833*3.4528</f>
        <v>27.097574400000003</v>
      </c>
    </row>
    <row r="835" spans="1:5" s="647" customFormat="1" ht="12.75" hidden="1" customHeight="1" x14ac:dyDescent="0.25">
      <c r="A835" s="879" t="s">
        <v>87</v>
      </c>
      <c r="B835" s="886" t="s">
        <v>119</v>
      </c>
      <c r="C835" s="144" t="s">
        <v>398</v>
      </c>
      <c r="D835" s="389"/>
      <c r="E835" s="655">
        <v>7.41</v>
      </c>
    </row>
    <row r="836" spans="1:5" s="647" customFormat="1" ht="12.75" hidden="1" customHeight="1" x14ac:dyDescent="0.25">
      <c r="A836" s="880"/>
      <c r="B836" s="888"/>
      <c r="C836" s="397" t="s">
        <v>415</v>
      </c>
      <c r="D836" s="389"/>
      <c r="E836" s="450">
        <f>E835*3.4528</f>
        <v>25.585248</v>
      </c>
    </row>
    <row r="837" spans="1:5" s="647" customFormat="1" hidden="1" x14ac:dyDescent="0.25">
      <c r="A837" s="256" t="s">
        <v>89</v>
      </c>
      <c r="B837" s="65" t="s">
        <v>120</v>
      </c>
      <c r="C837" s="76" t="s">
        <v>95</v>
      </c>
      <c r="D837" s="65"/>
      <c r="E837" s="655">
        <f>(E831/E835)*100-100</f>
        <v>-2.8340080971659916</v>
      </c>
    </row>
    <row r="838" spans="1:5" s="647" customFormat="1" ht="13.5" hidden="1" customHeight="1" x14ac:dyDescent="0.25">
      <c r="A838" s="302" t="s">
        <v>252</v>
      </c>
      <c r="B838" s="873" t="s">
        <v>249</v>
      </c>
      <c r="C838" s="874"/>
      <c r="D838" s="875"/>
      <c r="E838" s="876"/>
    </row>
    <row r="839" spans="1:5" s="647" customFormat="1" ht="14.25" hidden="1" customHeight="1" x14ac:dyDescent="0.25">
      <c r="A839" s="663" t="s">
        <v>15</v>
      </c>
      <c r="B839" s="608" t="s">
        <v>109</v>
      </c>
      <c r="C839" s="445" t="s">
        <v>323</v>
      </c>
      <c r="D839" s="662" t="s">
        <v>111</v>
      </c>
      <c r="E839" s="669">
        <v>0.2</v>
      </c>
    </row>
    <row r="840" spans="1:5" s="647" customFormat="1" ht="15.75" hidden="1" customHeight="1" x14ac:dyDescent="0.25">
      <c r="A840" s="663" t="s">
        <v>21</v>
      </c>
      <c r="B840" s="665" t="s">
        <v>112</v>
      </c>
      <c r="C840" s="445" t="s">
        <v>323</v>
      </c>
      <c r="D840" s="662" t="s">
        <v>425</v>
      </c>
      <c r="E840" s="649">
        <f>51*E828/100+1*E829+0.034*E830</f>
        <v>6.8857199999999992</v>
      </c>
    </row>
    <row r="841" spans="1:5" s="647" customFormat="1" ht="12.75" hidden="1" customHeight="1" x14ac:dyDescent="0.25">
      <c r="A841" s="879" t="s">
        <v>60</v>
      </c>
      <c r="B841" s="881" t="s">
        <v>117</v>
      </c>
      <c r="C841" s="445" t="s">
        <v>323</v>
      </c>
      <c r="D841" s="883" t="s">
        <v>121</v>
      </c>
      <c r="E841" s="654">
        <f>ROUND(E839+E840,2)</f>
        <v>7.09</v>
      </c>
    </row>
    <row r="842" spans="1:5" s="647" customFormat="1" ht="12.75" hidden="1" customHeight="1" x14ac:dyDescent="0.25">
      <c r="A842" s="880"/>
      <c r="B842" s="882"/>
      <c r="C842" s="397" t="s">
        <v>415</v>
      </c>
      <c r="D842" s="884"/>
      <c r="E842" s="450">
        <f>+E841*3.4528</f>
        <v>24.480352</v>
      </c>
    </row>
    <row r="843" spans="1:5" s="647" customFormat="1" ht="12.75" hidden="1" customHeight="1" x14ac:dyDescent="0.25">
      <c r="A843" s="879" t="s">
        <v>72</v>
      </c>
      <c r="B843" s="886" t="s">
        <v>118</v>
      </c>
      <c r="C843" s="445" t="s">
        <v>323</v>
      </c>
      <c r="D843" s="65"/>
      <c r="E843" s="657">
        <f>E841*1.21</f>
        <v>8.5788999999999991</v>
      </c>
    </row>
    <row r="844" spans="1:5" s="647" customFormat="1" ht="12.75" hidden="1" customHeight="1" thickBot="1" x14ac:dyDescent="0.3">
      <c r="A844" s="885"/>
      <c r="B844" s="887"/>
      <c r="C844" s="451" t="s">
        <v>415</v>
      </c>
      <c r="D844" s="452"/>
      <c r="E844" s="658">
        <f>+E843*3.4528</f>
        <v>29.621225919999997</v>
      </c>
    </row>
    <row r="845" spans="1:5" ht="11.25" hidden="1" customHeight="1" x14ac:dyDescent="0.25">
      <c r="A845" s="413"/>
      <c r="B845" s="414"/>
      <c r="C845" s="415"/>
      <c r="D845" s="416"/>
      <c r="E845" s="417"/>
    </row>
    <row r="846" spans="1:5" hidden="1" x14ac:dyDescent="0.25">
      <c r="B846" t="s">
        <v>189</v>
      </c>
      <c r="C846" t="s">
        <v>193</v>
      </c>
      <c r="D846" s="146" t="s">
        <v>190</v>
      </c>
    </row>
    <row r="847" spans="1:5" hidden="1" x14ac:dyDescent="0.25"/>
    <row r="848" spans="1:5" ht="11.25" hidden="1" customHeight="1" x14ac:dyDescent="0.25">
      <c r="D848" s="592" t="s">
        <v>332</v>
      </c>
      <c r="E848" s="592"/>
    </row>
    <row r="849" spans="1:5" ht="11.25" hidden="1" customHeight="1" x14ac:dyDescent="0.25">
      <c r="D849" s="851" t="s">
        <v>333</v>
      </c>
      <c r="E849" s="851"/>
    </row>
    <row r="850" spans="1:5" ht="11.25" hidden="1" customHeight="1" x14ac:dyDescent="0.25">
      <c r="D850" s="851" t="s">
        <v>334</v>
      </c>
      <c r="E850" s="851"/>
    </row>
    <row r="851" spans="1:5" ht="11.25" hidden="1" customHeight="1" x14ac:dyDescent="0.25">
      <c r="D851" s="673" t="s">
        <v>396</v>
      </c>
      <c r="E851" s="520"/>
    </row>
    <row r="852" spans="1:5" ht="6" hidden="1" customHeight="1" x14ac:dyDescent="0.25">
      <c r="A852" s="132"/>
      <c r="B852" s="132"/>
      <c r="E852" s="132"/>
    </row>
    <row r="853" spans="1:5" ht="11.25" hidden="1" customHeight="1" x14ac:dyDescent="0.25">
      <c r="A853" s="132" t="s">
        <v>335</v>
      </c>
      <c r="B853" s="132"/>
      <c r="D853" s="132" t="s">
        <v>336</v>
      </c>
    </row>
    <row r="854" spans="1:5" ht="12.75" hidden="1" customHeight="1" x14ac:dyDescent="0.25">
      <c r="A854" s="132" t="s">
        <v>1</v>
      </c>
      <c r="B854" s="132"/>
      <c r="D854" s="132" t="s">
        <v>305</v>
      </c>
    </row>
    <row r="855" spans="1:5" ht="12.75" hidden="1" customHeight="1" x14ac:dyDescent="0.25">
      <c r="A855" s="132" t="s">
        <v>2</v>
      </c>
      <c r="B855" s="132"/>
      <c r="D855" s="132" t="s">
        <v>339</v>
      </c>
    </row>
    <row r="856" spans="1:5" ht="12.75" hidden="1" customHeight="1" x14ac:dyDescent="0.25">
      <c r="A856" s="132" t="s">
        <v>3</v>
      </c>
      <c r="B856" s="132"/>
      <c r="D856" s="132" t="s">
        <v>169</v>
      </c>
    </row>
    <row r="857" spans="1:5" ht="12.75" hidden="1" customHeight="1" x14ac:dyDescent="0.25">
      <c r="A857" s="132" t="s">
        <v>4</v>
      </c>
      <c r="B857" s="132"/>
      <c r="D857" s="132" t="s">
        <v>317</v>
      </c>
    </row>
    <row r="858" spans="1:5" ht="12.75" hidden="1" customHeight="1" x14ac:dyDescent="0.25">
      <c r="A858" s="132" t="s">
        <v>321</v>
      </c>
      <c r="B858" s="132"/>
      <c r="D858" s="132"/>
    </row>
    <row r="859" spans="1:5" ht="3" hidden="1" customHeight="1" x14ac:dyDescent="0.25">
      <c r="A859" s="132"/>
      <c r="B859" s="132"/>
      <c r="D859" s="132"/>
    </row>
    <row r="860" spans="1:5" ht="15" hidden="1" customHeight="1" x14ac:dyDescent="0.25">
      <c r="A860" s="141"/>
      <c r="B860" s="141" t="s">
        <v>427</v>
      </c>
      <c r="C860" s="141"/>
      <c r="D860" s="141"/>
      <c r="E860" s="141"/>
    </row>
    <row r="861" spans="1:5" s="521" customFormat="1" ht="12.75" hidden="1" customHeight="1" x14ac:dyDescent="0.25">
      <c r="C861" s="644" t="s">
        <v>430</v>
      </c>
      <c r="D861" s="590"/>
    </row>
    <row r="862" spans="1:5" ht="9" hidden="1" customHeight="1" x14ac:dyDescent="0.25">
      <c r="C862" s="591" t="s">
        <v>191</v>
      </c>
    </row>
    <row r="863" spans="1:5" ht="13.5" hidden="1" customHeight="1" x14ac:dyDescent="0.25">
      <c r="A863" s="483" t="s">
        <v>6</v>
      </c>
      <c r="B863" s="2"/>
      <c r="C863" s="2"/>
      <c r="D863" s="2"/>
      <c r="E863" s="522"/>
    </row>
    <row r="864" spans="1:5" hidden="1" x14ac:dyDescent="0.25">
      <c r="A864" s="482" t="s">
        <v>340</v>
      </c>
      <c r="B864" s="1"/>
      <c r="C864" s="1"/>
      <c r="D864" s="1"/>
      <c r="E864" s="463"/>
    </row>
    <row r="865" spans="1:5" ht="6" hidden="1" customHeight="1" x14ac:dyDescent="0.25">
      <c r="A865" s="482"/>
      <c r="B865" s="1"/>
      <c r="C865" s="1"/>
      <c r="D865" s="1"/>
      <c r="E865" s="463"/>
    </row>
    <row r="866" spans="1:5" ht="12" hidden="1" customHeight="1" x14ac:dyDescent="0.25">
      <c r="A866" s="1" t="s">
        <v>7</v>
      </c>
      <c r="B866" s="1"/>
    </row>
    <row r="867" spans="1:5" ht="18.75" hidden="1" customHeight="1" thickBot="1" x14ac:dyDescent="0.3">
      <c r="A867" s="878" t="s">
        <v>423</v>
      </c>
      <c r="B867" s="878"/>
      <c r="C867" s="878"/>
      <c r="D867" s="878"/>
      <c r="E867" s="878"/>
    </row>
    <row r="868" spans="1:5" s="647" customFormat="1" ht="11.25" hidden="1" customHeight="1" thickBot="1" x14ac:dyDescent="0.3">
      <c r="A868" s="454" t="s">
        <v>8</v>
      </c>
      <c r="B868" s="455" t="s">
        <v>9</v>
      </c>
      <c r="C868" s="455" t="s">
        <v>10</v>
      </c>
      <c r="D868" s="455" t="s">
        <v>11</v>
      </c>
      <c r="E868" s="456" t="s">
        <v>12</v>
      </c>
    </row>
    <row r="869" spans="1:5" s="647" customFormat="1" ht="13.5" hidden="1" customHeight="1" x14ac:dyDescent="0.25">
      <c r="A869" s="302" t="s">
        <v>251</v>
      </c>
      <c r="B869" s="873" t="s">
        <v>256</v>
      </c>
      <c r="C869" s="874"/>
      <c r="D869" s="875"/>
      <c r="E869" s="876"/>
    </row>
    <row r="870" spans="1:5" s="647" customFormat="1" ht="16.5" hidden="1" customHeight="1" x14ac:dyDescent="0.25">
      <c r="A870" s="681" t="s">
        <v>15</v>
      </c>
      <c r="B870" s="608" t="s">
        <v>109</v>
      </c>
      <c r="C870" s="445" t="s">
        <v>397</v>
      </c>
      <c r="D870" s="678" t="s">
        <v>111</v>
      </c>
      <c r="E870" s="649">
        <v>0.2</v>
      </c>
    </row>
    <row r="871" spans="1:5" s="647" customFormat="1" ht="15.75" hidden="1" customHeight="1" x14ac:dyDescent="0.25">
      <c r="A871" s="659" t="s">
        <v>21</v>
      </c>
      <c r="B871" s="645" t="s">
        <v>112</v>
      </c>
      <c r="C871" s="445" t="s">
        <v>397</v>
      </c>
      <c r="D871" s="646" t="s">
        <v>424</v>
      </c>
      <c r="E871" s="649">
        <f>ROUND(51.85*E872/100,2)+ROUND(1.017*E873,2)+ROUND(0.034*E874,2)</f>
        <v>7.2</v>
      </c>
    </row>
    <row r="872" spans="1:5" s="647" customFormat="1" ht="13.5" hidden="1" customHeight="1" x14ac:dyDescent="0.25">
      <c r="A872" s="386" t="s">
        <v>60</v>
      </c>
      <c r="B872" s="389" t="s">
        <v>113</v>
      </c>
      <c r="C872" s="650" t="s">
        <v>292</v>
      </c>
      <c r="D872" s="387"/>
      <c r="E872" s="651">
        <v>8.1</v>
      </c>
    </row>
    <row r="873" spans="1:5" s="647" customFormat="1" ht="14.25" hidden="1" customHeight="1" x14ac:dyDescent="0.25">
      <c r="A873" s="300" t="s">
        <v>72</v>
      </c>
      <c r="B873" s="65" t="s">
        <v>114</v>
      </c>
      <c r="C873" s="144" t="s">
        <v>398</v>
      </c>
      <c r="D873" s="144" t="s">
        <v>414</v>
      </c>
      <c r="E873" s="652">
        <v>2.82</v>
      </c>
    </row>
    <row r="874" spans="1:5" s="647" customFormat="1" ht="13.5" hidden="1" customHeight="1" x14ac:dyDescent="0.25">
      <c r="A874" s="392" t="s">
        <v>115</v>
      </c>
      <c r="B874" s="388" t="s">
        <v>116</v>
      </c>
      <c r="C874" s="144" t="s">
        <v>398</v>
      </c>
      <c r="D874" s="402" t="s">
        <v>188</v>
      </c>
      <c r="E874" s="653">
        <v>3.78</v>
      </c>
    </row>
    <row r="875" spans="1:5" s="647" customFormat="1" ht="12.75" hidden="1" customHeight="1" x14ac:dyDescent="0.25">
      <c r="A875" s="675" t="s">
        <v>84</v>
      </c>
      <c r="B875" s="677" t="s">
        <v>117</v>
      </c>
      <c r="C875" s="144" t="s">
        <v>398</v>
      </c>
      <c r="D875" s="678" t="s">
        <v>121</v>
      </c>
      <c r="E875" s="654">
        <f>E870+E871</f>
        <v>7.4</v>
      </c>
    </row>
    <row r="876" spans="1:5" s="647" customFormat="1" ht="12.75" hidden="1" customHeight="1" x14ac:dyDescent="0.25">
      <c r="A876" s="675" t="s">
        <v>85</v>
      </c>
      <c r="B876" s="688" t="s">
        <v>431</v>
      </c>
      <c r="C876" s="144" t="s">
        <v>398</v>
      </c>
      <c r="D876" s="65"/>
      <c r="E876" s="682">
        <f>E875*1.09</f>
        <v>8.0660000000000007</v>
      </c>
    </row>
    <row r="877" spans="1:5" s="647" customFormat="1" ht="12.75" hidden="1" customHeight="1" x14ac:dyDescent="0.25">
      <c r="A877" s="675" t="s">
        <v>87</v>
      </c>
      <c r="B877" s="676" t="s">
        <v>119</v>
      </c>
      <c r="C877" s="144" t="s">
        <v>398</v>
      </c>
      <c r="D877" s="389"/>
      <c r="E877" s="655">
        <v>7.2</v>
      </c>
    </row>
    <row r="878" spans="1:5" s="647" customFormat="1" hidden="1" x14ac:dyDescent="0.25">
      <c r="A878" s="256" t="s">
        <v>89</v>
      </c>
      <c r="B878" s="65" t="s">
        <v>120</v>
      </c>
      <c r="C878" s="76" t="s">
        <v>95</v>
      </c>
      <c r="D878" s="65"/>
      <c r="E878" s="655">
        <f>(E875/E877)*100-100</f>
        <v>2.7777777777777857</v>
      </c>
    </row>
    <row r="879" spans="1:5" s="647" customFormat="1" ht="13.5" hidden="1" customHeight="1" x14ac:dyDescent="0.25">
      <c r="A879" s="302" t="s">
        <v>252</v>
      </c>
      <c r="B879" s="873" t="s">
        <v>249</v>
      </c>
      <c r="C879" s="874"/>
      <c r="D879" s="875"/>
      <c r="E879" s="876"/>
    </row>
    <row r="880" spans="1:5" s="647" customFormat="1" ht="14.25" hidden="1" customHeight="1" x14ac:dyDescent="0.25">
      <c r="A880" s="681" t="s">
        <v>15</v>
      </c>
      <c r="B880" s="608" t="s">
        <v>109</v>
      </c>
      <c r="C880" s="445" t="s">
        <v>323</v>
      </c>
      <c r="D880" s="678" t="s">
        <v>111</v>
      </c>
      <c r="E880" s="669">
        <v>0.2</v>
      </c>
    </row>
    <row r="881" spans="1:5" s="647" customFormat="1" ht="15.75" hidden="1" customHeight="1" x14ac:dyDescent="0.25">
      <c r="A881" s="681" t="s">
        <v>21</v>
      </c>
      <c r="B881" s="680" t="s">
        <v>112</v>
      </c>
      <c r="C881" s="445" t="s">
        <v>323</v>
      </c>
      <c r="D881" s="678" t="s">
        <v>425</v>
      </c>
      <c r="E881" s="649">
        <f>51*E872/100+1*E873+0.034*E874</f>
        <v>7.0795199999999987</v>
      </c>
    </row>
    <row r="882" spans="1:5" s="647" customFormat="1" ht="12.75" hidden="1" customHeight="1" x14ac:dyDescent="0.25">
      <c r="A882" s="675" t="s">
        <v>60</v>
      </c>
      <c r="B882" s="677" t="s">
        <v>117</v>
      </c>
      <c r="C882" s="445" t="s">
        <v>323</v>
      </c>
      <c r="D882" s="678" t="s">
        <v>121</v>
      </c>
      <c r="E882" s="654">
        <f>ROUND(E880+E881,2)</f>
        <v>7.28</v>
      </c>
    </row>
    <row r="883" spans="1:5" s="647" customFormat="1" ht="12.75" hidden="1" customHeight="1" thickBot="1" x14ac:dyDescent="0.3">
      <c r="A883" s="683" t="s">
        <v>72</v>
      </c>
      <c r="B883" s="684" t="s">
        <v>118</v>
      </c>
      <c r="C883" s="685" t="s">
        <v>323</v>
      </c>
      <c r="D883" s="686"/>
      <c r="E883" s="687">
        <f>E882*1.21</f>
        <v>8.8087999999999997</v>
      </c>
    </row>
    <row r="884" spans="1:5" s="647" customFormat="1" ht="12.75" hidden="1" customHeight="1" x14ac:dyDescent="0.25">
      <c r="A884" s="877" t="s">
        <v>432</v>
      </c>
      <c r="B884" s="877"/>
      <c r="C884" s="877"/>
      <c r="D884" s="877"/>
      <c r="E884" s="877"/>
    </row>
    <row r="885" spans="1:5" ht="11.25" hidden="1" customHeight="1" x14ac:dyDescent="0.25">
      <c r="A885" s="413"/>
      <c r="B885" s="414"/>
      <c r="C885" s="415"/>
      <c r="D885" s="416"/>
      <c r="E885" s="417"/>
    </row>
    <row r="886" spans="1:5" hidden="1" x14ac:dyDescent="0.25">
      <c r="B886" t="s">
        <v>189</v>
      </c>
      <c r="C886" t="s">
        <v>193</v>
      </c>
      <c r="D886" s="146" t="s">
        <v>190</v>
      </c>
    </row>
    <row r="887" spans="1:5" hidden="1" x14ac:dyDescent="0.25"/>
    <row r="888" spans="1:5" hidden="1" x14ac:dyDescent="0.25"/>
    <row r="889" spans="1:5" hidden="1" x14ac:dyDescent="0.25"/>
    <row r="890" spans="1:5" ht="11.25" hidden="1" customHeight="1" x14ac:dyDescent="0.25">
      <c r="D890" s="592" t="s">
        <v>332</v>
      </c>
      <c r="E890" s="592"/>
    </row>
    <row r="891" spans="1:5" ht="11.25" hidden="1" customHeight="1" x14ac:dyDescent="0.25">
      <c r="D891" s="851" t="s">
        <v>333</v>
      </c>
      <c r="E891" s="851"/>
    </row>
    <row r="892" spans="1:5" ht="11.25" hidden="1" customHeight="1" x14ac:dyDescent="0.25">
      <c r="D892" s="851" t="s">
        <v>334</v>
      </c>
      <c r="E892" s="851"/>
    </row>
    <row r="893" spans="1:5" ht="11.25" hidden="1" customHeight="1" x14ac:dyDescent="0.25">
      <c r="D893" s="689" t="s">
        <v>396</v>
      </c>
      <c r="E893" s="520"/>
    </row>
    <row r="894" spans="1:5" ht="6" hidden="1" customHeight="1" x14ac:dyDescent="0.25">
      <c r="A894" s="132"/>
      <c r="B894" s="132"/>
      <c r="E894" s="132"/>
    </row>
    <row r="895" spans="1:5" ht="11.25" hidden="1" customHeight="1" x14ac:dyDescent="0.25">
      <c r="A895" s="132" t="s">
        <v>335</v>
      </c>
      <c r="B895" s="132"/>
      <c r="D895" s="132" t="s">
        <v>336</v>
      </c>
    </row>
    <row r="896" spans="1:5" ht="12.75" hidden="1" customHeight="1" x14ac:dyDescent="0.25">
      <c r="A896" s="132" t="s">
        <v>1</v>
      </c>
      <c r="B896" s="132"/>
      <c r="D896" s="132" t="s">
        <v>305</v>
      </c>
    </row>
    <row r="897" spans="1:5" ht="12.75" hidden="1" customHeight="1" x14ac:dyDescent="0.25">
      <c r="A897" s="132" t="s">
        <v>2</v>
      </c>
      <c r="B897" s="132"/>
      <c r="D897" s="132" t="s">
        <v>339</v>
      </c>
    </row>
    <row r="898" spans="1:5" ht="12.75" hidden="1" customHeight="1" x14ac:dyDescent="0.25">
      <c r="A898" s="132" t="s">
        <v>3</v>
      </c>
      <c r="B898" s="132"/>
      <c r="D898" s="132" t="s">
        <v>169</v>
      </c>
    </row>
    <row r="899" spans="1:5" ht="12.75" hidden="1" customHeight="1" x14ac:dyDescent="0.25">
      <c r="A899" s="132" t="s">
        <v>4</v>
      </c>
      <c r="B899" s="132"/>
      <c r="D899" s="132" t="s">
        <v>317</v>
      </c>
    </row>
    <row r="900" spans="1:5" ht="12.75" hidden="1" customHeight="1" x14ac:dyDescent="0.25">
      <c r="A900" s="132" t="s">
        <v>321</v>
      </c>
      <c r="B900" s="132"/>
      <c r="D900" s="132"/>
    </row>
    <row r="901" spans="1:5" ht="3" hidden="1" customHeight="1" x14ac:dyDescent="0.25">
      <c r="A901" s="132"/>
      <c r="B901" s="132"/>
      <c r="D901" s="132"/>
    </row>
    <row r="902" spans="1:5" ht="15" hidden="1" customHeight="1" x14ac:dyDescent="0.25">
      <c r="A902" s="141"/>
      <c r="B902" s="141" t="s">
        <v>437</v>
      </c>
      <c r="C902" s="141"/>
      <c r="D902" s="141"/>
      <c r="E902" s="141"/>
    </row>
    <row r="903" spans="1:5" s="521" customFormat="1" ht="12.75" hidden="1" customHeight="1" x14ac:dyDescent="0.25">
      <c r="C903" s="644" t="s">
        <v>438</v>
      </c>
      <c r="D903" s="590"/>
    </row>
    <row r="904" spans="1:5" ht="9" hidden="1" customHeight="1" x14ac:dyDescent="0.25">
      <c r="C904" s="591" t="s">
        <v>191</v>
      </c>
    </row>
    <row r="905" spans="1:5" ht="13.5" hidden="1" customHeight="1" x14ac:dyDescent="0.25">
      <c r="A905" s="483" t="s">
        <v>6</v>
      </c>
      <c r="B905" s="2"/>
      <c r="C905" s="2"/>
      <c r="D905" s="2"/>
      <c r="E905" s="522"/>
    </row>
    <row r="906" spans="1:5" hidden="1" x14ac:dyDescent="0.25">
      <c r="A906" s="482" t="s">
        <v>340</v>
      </c>
      <c r="B906" s="1"/>
      <c r="C906" s="1"/>
      <c r="D906" s="1"/>
      <c r="E906" s="463"/>
    </row>
    <row r="907" spans="1:5" ht="6" hidden="1" customHeight="1" x14ac:dyDescent="0.25">
      <c r="A907" s="482"/>
      <c r="B907" s="1"/>
      <c r="C907" s="1"/>
      <c r="D907" s="1"/>
      <c r="E907" s="463"/>
    </row>
    <row r="908" spans="1:5" ht="12" hidden="1" customHeight="1" x14ac:dyDescent="0.25">
      <c r="A908" s="1" t="s">
        <v>7</v>
      </c>
      <c r="B908" s="1"/>
    </row>
    <row r="909" spans="1:5" ht="18.75" hidden="1" customHeight="1" thickBot="1" x14ac:dyDescent="0.3">
      <c r="A909" s="878" t="s">
        <v>423</v>
      </c>
      <c r="B909" s="878"/>
      <c r="C909" s="878"/>
      <c r="D909" s="878"/>
      <c r="E909" s="878"/>
    </row>
    <row r="910" spans="1:5" s="647" customFormat="1" ht="11.25" hidden="1" customHeight="1" thickBot="1" x14ac:dyDescent="0.3">
      <c r="A910" s="454" t="s">
        <v>8</v>
      </c>
      <c r="B910" s="455" t="s">
        <v>9</v>
      </c>
      <c r="C910" s="455" t="s">
        <v>10</v>
      </c>
      <c r="D910" s="455" t="s">
        <v>11</v>
      </c>
      <c r="E910" s="456" t="s">
        <v>12</v>
      </c>
    </row>
    <row r="911" spans="1:5" s="647" customFormat="1" ht="13.5" hidden="1" customHeight="1" x14ac:dyDescent="0.25">
      <c r="A911" s="302" t="s">
        <v>251</v>
      </c>
      <c r="B911" s="873" t="s">
        <v>256</v>
      </c>
      <c r="C911" s="874"/>
      <c r="D911" s="875"/>
      <c r="E911" s="876"/>
    </row>
    <row r="912" spans="1:5" s="647" customFormat="1" ht="16.5" hidden="1" customHeight="1" x14ac:dyDescent="0.25">
      <c r="A912" s="695" t="s">
        <v>15</v>
      </c>
      <c r="B912" s="608" t="s">
        <v>109</v>
      </c>
      <c r="C912" s="445" t="s">
        <v>397</v>
      </c>
      <c r="D912" s="693" t="s">
        <v>111</v>
      </c>
      <c r="E912" s="649">
        <v>0.2</v>
      </c>
    </row>
    <row r="913" spans="1:5" s="647" customFormat="1" ht="15.75" hidden="1" customHeight="1" x14ac:dyDescent="0.25">
      <c r="A913" s="659" t="s">
        <v>21</v>
      </c>
      <c r="B913" s="645" t="s">
        <v>112</v>
      </c>
      <c r="C913" s="445" t="s">
        <v>397</v>
      </c>
      <c r="D913" s="646" t="s">
        <v>424</v>
      </c>
      <c r="E913" s="649">
        <f>ROUND(51.85*E914/100,2)+ROUND(1.017*E915,2)+ROUND(0.034*E916,2)</f>
        <v>7.32</v>
      </c>
    </row>
    <row r="914" spans="1:5" s="647" customFormat="1" ht="13.5" hidden="1" customHeight="1" x14ac:dyDescent="0.25">
      <c r="A914" s="386" t="s">
        <v>60</v>
      </c>
      <c r="B914" s="389" t="s">
        <v>113</v>
      </c>
      <c r="C914" s="650" t="s">
        <v>292</v>
      </c>
      <c r="D914" s="387"/>
      <c r="E914" s="710">
        <v>8.33</v>
      </c>
    </row>
    <row r="915" spans="1:5" s="647" customFormat="1" ht="14.25" hidden="1" customHeight="1" x14ac:dyDescent="0.25">
      <c r="A915" s="300" t="s">
        <v>72</v>
      </c>
      <c r="B915" s="65" t="s">
        <v>114</v>
      </c>
      <c r="C915" s="144" t="s">
        <v>398</v>
      </c>
      <c r="D915" s="144" t="s">
        <v>414</v>
      </c>
      <c r="E915" s="652">
        <v>2.82</v>
      </c>
    </row>
    <row r="916" spans="1:5" s="647" customFormat="1" ht="13.5" hidden="1" customHeight="1" x14ac:dyDescent="0.25">
      <c r="A916" s="392" t="s">
        <v>115</v>
      </c>
      <c r="B916" s="388" t="s">
        <v>116</v>
      </c>
      <c r="C916" s="144" t="s">
        <v>398</v>
      </c>
      <c r="D916" s="402" t="s">
        <v>188</v>
      </c>
      <c r="E916" s="653">
        <v>3.78</v>
      </c>
    </row>
    <row r="917" spans="1:5" s="647" customFormat="1" ht="12.75" hidden="1" customHeight="1" x14ac:dyDescent="0.25">
      <c r="A917" s="691" t="s">
        <v>84</v>
      </c>
      <c r="B917" s="692" t="s">
        <v>117</v>
      </c>
      <c r="C917" s="144" t="s">
        <v>398</v>
      </c>
      <c r="D917" s="693" t="s">
        <v>121</v>
      </c>
      <c r="E917" s="654">
        <f>E912+E913</f>
        <v>7.5200000000000005</v>
      </c>
    </row>
    <row r="918" spans="1:5" s="647" customFormat="1" ht="12.75" hidden="1" customHeight="1" x14ac:dyDescent="0.25">
      <c r="A918" s="691" t="s">
        <v>85</v>
      </c>
      <c r="B918" s="694" t="s">
        <v>431</v>
      </c>
      <c r="C918" s="144" t="s">
        <v>398</v>
      </c>
      <c r="D918" s="65"/>
      <c r="E918" s="682">
        <f>E917*1.09</f>
        <v>8.1968000000000014</v>
      </c>
    </row>
    <row r="919" spans="1:5" s="647" customFormat="1" ht="12.75" hidden="1" customHeight="1" x14ac:dyDescent="0.25">
      <c r="A919" s="691" t="s">
        <v>87</v>
      </c>
      <c r="B919" s="694" t="s">
        <v>119</v>
      </c>
      <c r="C919" s="144" t="s">
        <v>398</v>
      </c>
      <c r="D919" s="389"/>
      <c r="E919" s="711">
        <v>7.4</v>
      </c>
    </row>
    <row r="920" spans="1:5" s="647" customFormat="1" hidden="1" x14ac:dyDescent="0.25">
      <c r="A920" s="256" t="s">
        <v>89</v>
      </c>
      <c r="B920" s="65" t="s">
        <v>120</v>
      </c>
      <c r="C920" s="76" t="s">
        <v>95</v>
      </c>
      <c r="D920" s="65"/>
      <c r="E920" s="655">
        <f>(E917/E919)*100-100</f>
        <v>1.6216216216216282</v>
      </c>
    </row>
    <row r="921" spans="1:5" s="647" customFormat="1" ht="13.5" hidden="1" customHeight="1" x14ac:dyDescent="0.25">
      <c r="A921" s="302" t="s">
        <v>252</v>
      </c>
      <c r="B921" s="873" t="s">
        <v>249</v>
      </c>
      <c r="C921" s="874"/>
      <c r="D921" s="875"/>
      <c r="E921" s="876"/>
    </row>
    <row r="922" spans="1:5" s="647" customFormat="1" ht="14.25" hidden="1" customHeight="1" x14ac:dyDescent="0.25">
      <c r="A922" s="695" t="s">
        <v>15</v>
      </c>
      <c r="B922" s="608" t="s">
        <v>109</v>
      </c>
      <c r="C922" s="445" t="s">
        <v>323</v>
      </c>
      <c r="D922" s="693" t="s">
        <v>111</v>
      </c>
      <c r="E922" s="669">
        <v>0.2</v>
      </c>
    </row>
    <row r="923" spans="1:5" s="647" customFormat="1" ht="15.75" hidden="1" customHeight="1" x14ac:dyDescent="0.25">
      <c r="A923" s="695" t="s">
        <v>21</v>
      </c>
      <c r="B923" s="697" t="s">
        <v>112</v>
      </c>
      <c r="C923" s="445" t="s">
        <v>323</v>
      </c>
      <c r="D923" s="693" t="s">
        <v>425</v>
      </c>
      <c r="E923" s="649">
        <f>51*E914/100+1*E915+0.034*E916</f>
        <v>7.1968199999999989</v>
      </c>
    </row>
    <row r="924" spans="1:5" s="647" customFormat="1" ht="12.75" hidden="1" customHeight="1" x14ac:dyDescent="0.25">
      <c r="A924" s="691" t="s">
        <v>60</v>
      </c>
      <c r="B924" s="692" t="s">
        <v>117</v>
      </c>
      <c r="C924" s="445" t="s">
        <v>323</v>
      </c>
      <c r="D924" s="693" t="s">
        <v>121</v>
      </c>
      <c r="E924" s="654">
        <f>ROUND(E922+E923,2)</f>
        <v>7.4</v>
      </c>
    </row>
    <row r="925" spans="1:5" s="647" customFormat="1" ht="12.75" hidden="1" customHeight="1" thickBot="1" x14ac:dyDescent="0.3">
      <c r="A925" s="683" t="s">
        <v>72</v>
      </c>
      <c r="B925" s="684" t="s">
        <v>118</v>
      </c>
      <c r="C925" s="685" t="s">
        <v>323</v>
      </c>
      <c r="D925" s="686"/>
      <c r="E925" s="687">
        <f>E924*1.21</f>
        <v>8.9540000000000006</v>
      </c>
    </row>
    <row r="926" spans="1:5" s="647" customFormat="1" ht="12.75" hidden="1" customHeight="1" x14ac:dyDescent="0.25">
      <c r="A926" s="877"/>
      <c r="B926" s="877"/>
      <c r="C926" s="877"/>
      <c r="D926" s="877"/>
      <c r="E926" s="877"/>
    </row>
    <row r="927" spans="1:5" ht="11.25" hidden="1" customHeight="1" x14ac:dyDescent="0.25">
      <c r="A927" s="413"/>
      <c r="B927" s="414"/>
      <c r="C927" s="415"/>
      <c r="D927" s="416"/>
      <c r="E927" s="417"/>
    </row>
    <row r="928" spans="1:5" hidden="1" x14ac:dyDescent="0.25">
      <c r="B928" t="s">
        <v>189</v>
      </c>
      <c r="C928" t="s">
        <v>193</v>
      </c>
      <c r="D928" s="146" t="s">
        <v>190</v>
      </c>
    </row>
    <row r="929" spans="1:5" hidden="1" x14ac:dyDescent="0.25"/>
    <row r="930" spans="1:5" ht="11.25" hidden="1" customHeight="1" x14ac:dyDescent="0.25">
      <c r="D930" s="592" t="s">
        <v>332</v>
      </c>
      <c r="E930" s="592"/>
    </row>
    <row r="931" spans="1:5" ht="11.25" hidden="1" customHeight="1" x14ac:dyDescent="0.25">
      <c r="D931" s="851" t="s">
        <v>333</v>
      </c>
      <c r="E931" s="851"/>
    </row>
    <row r="932" spans="1:5" ht="11.25" hidden="1" customHeight="1" x14ac:dyDescent="0.25">
      <c r="D932" s="851" t="s">
        <v>334</v>
      </c>
      <c r="E932" s="851"/>
    </row>
    <row r="933" spans="1:5" ht="11.25" hidden="1" customHeight="1" x14ac:dyDescent="0.25">
      <c r="D933" s="699" t="s">
        <v>396</v>
      </c>
      <c r="E933" s="520"/>
    </row>
    <row r="934" spans="1:5" ht="6" hidden="1" customHeight="1" x14ac:dyDescent="0.25">
      <c r="A934" s="132"/>
      <c r="B934" s="132"/>
      <c r="E934" s="132"/>
    </row>
    <row r="935" spans="1:5" ht="11.25" hidden="1" customHeight="1" x14ac:dyDescent="0.25">
      <c r="A935" s="132" t="s">
        <v>335</v>
      </c>
      <c r="B935" s="132"/>
      <c r="D935" s="132" t="s">
        <v>336</v>
      </c>
    </row>
    <row r="936" spans="1:5" ht="12.75" hidden="1" customHeight="1" x14ac:dyDescent="0.25">
      <c r="A936" s="132" t="s">
        <v>1</v>
      </c>
      <c r="B936" s="132"/>
      <c r="D936" s="132" t="s">
        <v>305</v>
      </c>
    </row>
    <row r="937" spans="1:5" ht="12.75" hidden="1" customHeight="1" x14ac:dyDescent="0.25">
      <c r="A937" s="132" t="s">
        <v>2</v>
      </c>
      <c r="B937" s="132"/>
      <c r="D937" s="132" t="s">
        <v>339</v>
      </c>
    </row>
    <row r="938" spans="1:5" ht="12.75" hidden="1" customHeight="1" x14ac:dyDescent="0.25">
      <c r="A938" s="132" t="s">
        <v>3</v>
      </c>
      <c r="B938" s="132"/>
      <c r="D938" s="132" t="s">
        <v>169</v>
      </c>
    </row>
    <row r="939" spans="1:5" ht="12.75" hidden="1" customHeight="1" x14ac:dyDescent="0.25">
      <c r="A939" s="132" t="s">
        <v>4</v>
      </c>
      <c r="B939" s="132"/>
      <c r="D939" s="132" t="s">
        <v>317</v>
      </c>
    </row>
    <row r="940" spans="1:5" ht="12.75" hidden="1" customHeight="1" x14ac:dyDescent="0.25">
      <c r="A940" s="132" t="s">
        <v>321</v>
      </c>
      <c r="B940" s="132"/>
      <c r="D940" s="132"/>
    </row>
    <row r="941" spans="1:5" ht="3" hidden="1" customHeight="1" x14ac:dyDescent="0.25">
      <c r="A941" s="132"/>
      <c r="B941" s="132"/>
      <c r="D941" s="132"/>
    </row>
    <row r="942" spans="1:5" ht="15" hidden="1" customHeight="1" x14ac:dyDescent="0.25">
      <c r="A942" s="141"/>
      <c r="B942" s="141" t="s">
        <v>441</v>
      </c>
      <c r="C942" s="141"/>
      <c r="D942" s="141"/>
      <c r="E942" s="141"/>
    </row>
    <row r="943" spans="1:5" s="521" customFormat="1" ht="12.75" hidden="1" customHeight="1" x14ac:dyDescent="0.25">
      <c r="C943" s="644" t="s">
        <v>440</v>
      </c>
      <c r="D943" s="590"/>
    </row>
    <row r="944" spans="1:5" ht="9" hidden="1" customHeight="1" x14ac:dyDescent="0.25">
      <c r="C944" s="591" t="s">
        <v>191</v>
      </c>
    </row>
    <row r="945" spans="1:5" ht="13.5" hidden="1" customHeight="1" x14ac:dyDescent="0.25">
      <c r="A945" s="483" t="s">
        <v>6</v>
      </c>
      <c r="B945" s="2"/>
      <c r="C945" s="2"/>
      <c r="D945" s="2"/>
      <c r="E945" s="522"/>
    </row>
    <row r="946" spans="1:5" hidden="1" x14ac:dyDescent="0.25">
      <c r="A946" s="482" t="s">
        <v>340</v>
      </c>
      <c r="B946" s="1"/>
      <c r="C946" s="1"/>
      <c r="D946" s="1"/>
      <c r="E946" s="463"/>
    </row>
    <row r="947" spans="1:5" ht="6" hidden="1" customHeight="1" x14ac:dyDescent="0.25">
      <c r="A947" s="482"/>
      <c r="B947" s="1"/>
      <c r="C947" s="1"/>
      <c r="D947" s="1"/>
      <c r="E947" s="463"/>
    </row>
    <row r="948" spans="1:5" ht="12" hidden="1" customHeight="1" x14ac:dyDescent="0.25">
      <c r="A948" s="1" t="s">
        <v>7</v>
      </c>
      <c r="B948" s="1"/>
    </row>
    <row r="949" spans="1:5" ht="18.75" hidden="1" customHeight="1" thickBot="1" x14ac:dyDescent="0.3">
      <c r="A949" s="878" t="s">
        <v>423</v>
      </c>
      <c r="B949" s="878"/>
      <c r="C949" s="878"/>
      <c r="D949" s="878"/>
      <c r="E949" s="878"/>
    </row>
    <row r="950" spans="1:5" s="647" customFormat="1" ht="11.25" hidden="1" customHeight="1" thickBot="1" x14ac:dyDescent="0.3">
      <c r="A950" s="454" t="s">
        <v>8</v>
      </c>
      <c r="B950" s="455" t="s">
        <v>9</v>
      </c>
      <c r="C950" s="455" t="s">
        <v>10</v>
      </c>
      <c r="D950" s="455" t="s">
        <v>11</v>
      </c>
      <c r="E950" s="456" t="s">
        <v>12</v>
      </c>
    </row>
    <row r="951" spans="1:5" s="647" customFormat="1" ht="13.5" hidden="1" customHeight="1" x14ac:dyDescent="0.25">
      <c r="A951" s="302" t="s">
        <v>251</v>
      </c>
      <c r="B951" s="873" t="s">
        <v>256</v>
      </c>
      <c r="C951" s="874"/>
      <c r="D951" s="875"/>
      <c r="E951" s="876"/>
    </row>
    <row r="952" spans="1:5" s="647" customFormat="1" ht="16.5" hidden="1" customHeight="1" x14ac:dyDescent="0.25">
      <c r="A952" s="705" t="s">
        <v>15</v>
      </c>
      <c r="B952" s="608" t="s">
        <v>109</v>
      </c>
      <c r="C952" s="445" t="s">
        <v>397</v>
      </c>
      <c r="D952" s="703" t="s">
        <v>111</v>
      </c>
      <c r="E952" s="649">
        <v>0.2</v>
      </c>
    </row>
    <row r="953" spans="1:5" s="647" customFormat="1" ht="15.75" hidden="1" customHeight="1" x14ac:dyDescent="0.25">
      <c r="A953" s="659" t="s">
        <v>21</v>
      </c>
      <c r="B953" s="645" t="s">
        <v>112</v>
      </c>
      <c r="C953" s="445" t="s">
        <v>397</v>
      </c>
      <c r="D953" s="646" t="s">
        <v>424</v>
      </c>
      <c r="E953" s="649">
        <f>ROUND(51.85*E954/100,2)+ROUND(1.017*E955,2)+ROUND(0.034*E956,2)</f>
        <v>7.17</v>
      </c>
    </row>
    <row r="954" spans="1:5" s="647" customFormat="1" ht="13.5" hidden="1" customHeight="1" x14ac:dyDescent="0.25">
      <c r="A954" s="386" t="s">
        <v>60</v>
      </c>
      <c r="B954" s="389" t="s">
        <v>113</v>
      </c>
      <c r="C954" s="650" t="s">
        <v>292</v>
      </c>
      <c r="D954" s="387"/>
      <c r="E954" s="710">
        <v>8.0399999999999991</v>
      </c>
    </row>
    <row r="955" spans="1:5" s="647" customFormat="1" ht="14.25" hidden="1" customHeight="1" x14ac:dyDescent="0.25">
      <c r="A955" s="300" t="s">
        <v>72</v>
      </c>
      <c r="B955" s="65" t="s">
        <v>114</v>
      </c>
      <c r="C955" s="144" t="s">
        <v>398</v>
      </c>
      <c r="D955" s="144" t="s">
        <v>414</v>
      </c>
      <c r="E955" s="652">
        <v>2.82</v>
      </c>
    </row>
    <row r="956" spans="1:5" s="647" customFormat="1" ht="13.5" hidden="1" customHeight="1" x14ac:dyDescent="0.25">
      <c r="A956" s="392" t="s">
        <v>115</v>
      </c>
      <c r="B956" s="388" t="s">
        <v>116</v>
      </c>
      <c r="C956" s="144" t="s">
        <v>398</v>
      </c>
      <c r="D956" s="402" t="s">
        <v>188</v>
      </c>
      <c r="E956" s="653">
        <v>3.78</v>
      </c>
    </row>
    <row r="957" spans="1:5" s="647" customFormat="1" ht="12.75" hidden="1" customHeight="1" x14ac:dyDescent="0.25">
      <c r="A957" s="701" t="s">
        <v>84</v>
      </c>
      <c r="B957" s="702" t="s">
        <v>117</v>
      </c>
      <c r="C957" s="144" t="s">
        <v>398</v>
      </c>
      <c r="D957" s="703" t="s">
        <v>121</v>
      </c>
      <c r="E957" s="654">
        <f>E952+E953</f>
        <v>7.37</v>
      </c>
    </row>
    <row r="958" spans="1:5" s="647" customFormat="1" ht="12.75" hidden="1" customHeight="1" x14ac:dyDescent="0.25">
      <c r="A958" s="701" t="s">
        <v>85</v>
      </c>
      <c r="B958" s="704" t="s">
        <v>431</v>
      </c>
      <c r="C958" s="144" t="s">
        <v>398</v>
      </c>
      <c r="D958" s="65"/>
      <c r="E958" s="682">
        <f>E957*1.09</f>
        <v>8.0333000000000006</v>
      </c>
    </row>
    <row r="959" spans="1:5" s="647" customFormat="1" ht="12.75" hidden="1" customHeight="1" x14ac:dyDescent="0.25">
      <c r="A959" s="701" t="s">
        <v>87</v>
      </c>
      <c r="B959" s="704" t="s">
        <v>119</v>
      </c>
      <c r="C959" s="144" t="s">
        <v>398</v>
      </c>
      <c r="D959" s="389"/>
      <c r="E959" s="711">
        <v>7.52</v>
      </c>
    </row>
    <row r="960" spans="1:5" s="647" customFormat="1" hidden="1" x14ac:dyDescent="0.25">
      <c r="A960" s="256" t="s">
        <v>89</v>
      </c>
      <c r="B960" s="65" t="s">
        <v>120</v>
      </c>
      <c r="C960" s="76" t="s">
        <v>95</v>
      </c>
      <c r="D960" s="65"/>
      <c r="E960" s="655">
        <f>(E957/E959)*100-100</f>
        <v>-1.9946808510638192</v>
      </c>
    </row>
    <row r="961" spans="1:5" s="647" customFormat="1" ht="13.5" hidden="1" customHeight="1" x14ac:dyDescent="0.25">
      <c r="A961" s="302" t="s">
        <v>252</v>
      </c>
      <c r="B961" s="873" t="s">
        <v>249</v>
      </c>
      <c r="C961" s="874"/>
      <c r="D961" s="875"/>
      <c r="E961" s="876"/>
    </row>
    <row r="962" spans="1:5" s="647" customFormat="1" ht="14.25" hidden="1" customHeight="1" x14ac:dyDescent="0.25">
      <c r="A962" s="705" t="s">
        <v>15</v>
      </c>
      <c r="B962" s="608" t="s">
        <v>109</v>
      </c>
      <c r="C962" s="445" t="s">
        <v>323</v>
      </c>
      <c r="D962" s="703" t="s">
        <v>111</v>
      </c>
      <c r="E962" s="669">
        <v>0.2</v>
      </c>
    </row>
    <row r="963" spans="1:5" s="647" customFormat="1" ht="15.75" hidden="1" customHeight="1" x14ac:dyDescent="0.25">
      <c r="A963" s="705" t="s">
        <v>21</v>
      </c>
      <c r="B963" s="707" t="s">
        <v>112</v>
      </c>
      <c r="C963" s="445" t="s">
        <v>323</v>
      </c>
      <c r="D963" s="703" t="s">
        <v>425</v>
      </c>
      <c r="E963" s="649">
        <f>51*E954/100+1*E955+0.034*E956</f>
        <v>7.048919999999999</v>
      </c>
    </row>
    <row r="964" spans="1:5" s="647" customFormat="1" ht="12.75" hidden="1" customHeight="1" x14ac:dyDescent="0.25">
      <c r="A964" s="701" t="s">
        <v>60</v>
      </c>
      <c r="B964" s="702" t="s">
        <v>117</v>
      </c>
      <c r="C964" s="445" t="s">
        <v>323</v>
      </c>
      <c r="D964" s="703" t="s">
        <v>121</v>
      </c>
      <c r="E964" s="654">
        <f>ROUND(E962+E963,2)</f>
        <v>7.25</v>
      </c>
    </row>
    <row r="965" spans="1:5" s="647" customFormat="1" ht="12.75" hidden="1" customHeight="1" thickBot="1" x14ac:dyDescent="0.3">
      <c r="A965" s="683" t="s">
        <v>72</v>
      </c>
      <c r="B965" s="684" t="s">
        <v>118</v>
      </c>
      <c r="C965" s="685" t="s">
        <v>323</v>
      </c>
      <c r="D965" s="686"/>
      <c r="E965" s="687">
        <f>E964*1.21</f>
        <v>8.7724999999999991</v>
      </c>
    </row>
    <row r="966" spans="1:5" s="647" customFormat="1" ht="12.75" hidden="1" customHeight="1" x14ac:dyDescent="0.25">
      <c r="A966" s="877"/>
      <c r="B966" s="877"/>
      <c r="C966" s="877"/>
      <c r="D966" s="877"/>
      <c r="E966" s="877"/>
    </row>
    <row r="967" spans="1:5" ht="11.25" hidden="1" customHeight="1" x14ac:dyDescent="0.25">
      <c r="A967" s="413"/>
      <c r="B967" s="414"/>
      <c r="C967" s="415"/>
      <c r="D967" s="416"/>
      <c r="E967" s="417"/>
    </row>
    <row r="968" spans="1:5" hidden="1" x14ac:dyDescent="0.25">
      <c r="B968" t="s">
        <v>189</v>
      </c>
      <c r="C968" t="s">
        <v>193</v>
      </c>
      <c r="D968" s="146" t="s">
        <v>190</v>
      </c>
    </row>
    <row r="969" spans="1:5" hidden="1" x14ac:dyDescent="0.25"/>
    <row r="970" spans="1:5" ht="11.25" hidden="1" customHeight="1" x14ac:dyDescent="0.25">
      <c r="D970" s="592" t="s">
        <v>332</v>
      </c>
      <c r="E970" s="592"/>
    </row>
    <row r="971" spans="1:5" ht="11.25" hidden="1" customHeight="1" x14ac:dyDescent="0.25">
      <c r="D971" s="851" t="s">
        <v>333</v>
      </c>
      <c r="E971" s="851"/>
    </row>
    <row r="972" spans="1:5" ht="11.25" hidden="1" customHeight="1" x14ac:dyDescent="0.25">
      <c r="D972" s="851" t="s">
        <v>334</v>
      </c>
      <c r="E972" s="851"/>
    </row>
    <row r="973" spans="1:5" ht="11.25" hidden="1" customHeight="1" x14ac:dyDescent="0.25">
      <c r="D973" s="712" t="s">
        <v>396</v>
      </c>
      <c r="E973" s="520"/>
    </row>
    <row r="974" spans="1:5" ht="6" hidden="1" customHeight="1" x14ac:dyDescent="0.25">
      <c r="A974" s="132"/>
      <c r="B974" s="132"/>
      <c r="E974" s="132"/>
    </row>
    <row r="975" spans="1:5" ht="11.25" hidden="1" customHeight="1" x14ac:dyDescent="0.25">
      <c r="A975" s="132" t="s">
        <v>335</v>
      </c>
      <c r="B975" s="132"/>
      <c r="D975" s="132" t="s">
        <v>336</v>
      </c>
    </row>
    <row r="976" spans="1:5" ht="12.75" hidden="1" customHeight="1" x14ac:dyDescent="0.25">
      <c r="A976" s="132" t="s">
        <v>1</v>
      </c>
      <c r="B976" s="132"/>
      <c r="D976" s="132" t="s">
        <v>305</v>
      </c>
    </row>
    <row r="977" spans="1:5" ht="12.75" hidden="1" customHeight="1" x14ac:dyDescent="0.25">
      <c r="A977" s="132" t="s">
        <v>2</v>
      </c>
      <c r="B977" s="132"/>
      <c r="D977" s="132" t="s">
        <v>339</v>
      </c>
    </row>
    <row r="978" spans="1:5" ht="12.75" hidden="1" customHeight="1" x14ac:dyDescent="0.25">
      <c r="A978" s="132" t="s">
        <v>3</v>
      </c>
      <c r="B978" s="132"/>
      <c r="D978" s="132" t="s">
        <v>169</v>
      </c>
    </row>
    <row r="979" spans="1:5" ht="12.75" hidden="1" customHeight="1" x14ac:dyDescent="0.25">
      <c r="A979" s="132" t="s">
        <v>4</v>
      </c>
      <c r="B979" s="132"/>
      <c r="D979" s="132" t="s">
        <v>317</v>
      </c>
    </row>
    <row r="980" spans="1:5" ht="12.75" hidden="1" customHeight="1" x14ac:dyDescent="0.25">
      <c r="A980" s="132" t="s">
        <v>321</v>
      </c>
      <c r="B980" s="132"/>
      <c r="D980" s="132"/>
    </row>
    <row r="981" spans="1:5" ht="3" hidden="1" customHeight="1" x14ac:dyDescent="0.25">
      <c r="A981" s="132"/>
      <c r="B981" s="132"/>
      <c r="D981" s="132"/>
    </row>
    <row r="982" spans="1:5" ht="15" hidden="1" customHeight="1" x14ac:dyDescent="0.25">
      <c r="A982" s="141"/>
      <c r="B982" s="141" t="s">
        <v>445</v>
      </c>
      <c r="C982" s="141"/>
      <c r="D982" s="141"/>
      <c r="E982" s="141"/>
    </row>
    <row r="983" spans="1:5" s="521" customFormat="1" ht="12.75" hidden="1" customHeight="1" x14ac:dyDescent="0.25">
      <c r="C983" s="644" t="s">
        <v>443</v>
      </c>
      <c r="D983" s="590"/>
    </row>
    <row r="984" spans="1:5" ht="9" hidden="1" customHeight="1" x14ac:dyDescent="0.25">
      <c r="C984" s="591" t="s">
        <v>191</v>
      </c>
    </row>
    <row r="985" spans="1:5" ht="13.5" hidden="1" customHeight="1" x14ac:dyDescent="0.25">
      <c r="A985" s="483" t="s">
        <v>6</v>
      </c>
      <c r="B985" s="2"/>
      <c r="C985" s="2"/>
      <c r="D985" s="2"/>
      <c r="E985" s="522"/>
    </row>
    <row r="986" spans="1:5" hidden="1" x14ac:dyDescent="0.25">
      <c r="A986" s="482" t="s">
        <v>340</v>
      </c>
      <c r="B986" s="1"/>
      <c r="C986" s="1"/>
      <c r="D986" s="1"/>
      <c r="E986" s="463"/>
    </row>
    <row r="987" spans="1:5" ht="6" hidden="1" customHeight="1" x14ac:dyDescent="0.25">
      <c r="A987" s="482"/>
      <c r="B987" s="1"/>
      <c r="C987" s="1"/>
      <c r="D987" s="1"/>
      <c r="E987" s="463"/>
    </row>
    <row r="988" spans="1:5" ht="12" hidden="1" customHeight="1" x14ac:dyDescent="0.25">
      <c r="A988" s="1" t="s">
        <v>7</v>
      </c>
      <c r="B988" s="1"/>
    </row>
    <row r="989" spans="1:5" ht="18.75" hidden="1" customHeight="1" thickBot="1" x14ac:dyDescent="0.3">
      <c r="A989" s="878" t="s">
        <v>423</v>
      </c>
      <c r="B989" s="878"/>
      <c r="C989" s="878"/>
      <c r="D989" s="878"/>
      <c r="E989" s="878"/>
    </row>
    <row r="990" spans="1:5" s="647" customFormat="1" ht="11.25" hidden="1" customHeight="1" thickBot="1" x14ac:dyDescent="0.3">
      <c r="A990" s="454" t="s">
        <v>8</v>
      </c>
      <c r="B990" s="455" t="s">
        <v>9</v>
      </c>
      <c r="C990" s="455" t="s">
        <v>10</v>
      </c>
      <c r="D990" s="455" t="s">
        <v>11</v>
      </c>
      <c r="E990" s="456" t="s">
        <v>12</v>
      </c>
    </row>
    <row r="991" spans="1:5" s="647" customFormat="1" ht="13.5" hidden="1" customHeight="1" x14ac:dyDescent="0.25">
      <c r="A991" s="302" t="s">
        <v>251</v>
      </c>
      <c r="B991" s="873" t="s">
        <v>256</v>
      </c>
      <c r="C991" s="874"/>
      <c r="D991" s="875"/>
      <c r="E991" s="876"/>
    </row>
    <row r="992" spans="1:5" s="647" customFormat="1" ht="16.5" hidden="1" customHeight="1" x14ac:dyDescent="0.25">
      <c r="A992" s="720" t="s">
        <v>15</v>
      </c>
      <c r="B992" s="608" t="s">
        <v>109</v>
      </c>
      <c r="C992" s="445" t="s">
        <v>397</v>
      </c>
      <c r="D992" s="717" t="s">
        <v>111</v>
      </c>
      <c r="E992" s="649">
        <v>0.2</v>
      </c>
    </row>
    <row r="993" spans="1:5" s="647" customFormat="1" ht="15.75" hidden="1" customHeight="1" x14ac:dyDescent="0.25">
      <c r="A993" s="659" t="s">
        <v>21</v>
      </c>
      <c r="B993" s="645" t="s">
        <v>112</v>
      </c>
      <c r="C993" s="445" t="s">
        <v>397</v>
      </c>
      <c r="D993" s="646" t="s">
        <v>424</v>
      </c>
      <c r="E993" s="649">
        <f>ROUND(51.85*E994/100,2)+ROUND(1.017*E995,2)+ROUND(0.034*E996,2)</f>
        <v>7.25</v>
      </c>
    </row>
    <row r="994" spans="1:5" s="647" customFormat="1" ht="13.5" hidden="1" customHeight="1" x14ac:dyDescent="0.25">
      <c r="A994" s="386" t="s">
        <v>60</v>
      </c>
      <c r="B994" s="389" t="s">
        <v>113</v>
      </c>
      <c r="C994" s="650" t="s">
        <v>292</v>
      </c>
      <c r="D994" s="387"/>
      <c r="E994" s="710">
        <v>8.19</v>
      </c>
    </row>
    <row r="995" spans="1:5" s="647" customFormat="1" ht="14.25" hidden="1" customHeight="1" x14ac:dyDescent="0.25">
      <c r="A995" s="300" t="s">
        <v>72</v>
      </c>
      <c r="B995" s="65" t="s">
        <v>114</v>
      </c>
      <c r="C995" s="144" t="s">
        <v>398</v>
      </c>
      <c r="D995" s="144" t="s">
        <v>414</v>
      </c>
      <c r="E995" s="652">
        <v>2.82</v>
      </c>
    </row>
    <row r="996" spans="1:5" s="647" customFormat="1" ht="13.5" hidden="1" customHeight="1" x14ac:dyDescent="0.25">
      <c r="A996" s="392" t="s">
        <v>115</v>
      </c>
      <c r="B996" s="388" t="s">
        <v>116</v>
      </c>
      <c r="C996" s="144" t="s">
        <v>398</v>
      </c>
      <c r="D996" s="402" t="s">
        <v>188</v>
      </c>
      <c r="E996" s="653">
        <v>3.78</v>
      </c>
    </row>
    <row r="997" spans="1:5" s="647" customFormat="1" ht="12.75" hidden="1" customHeight="1" x14ac:dyDescent="0.25">
      <c r="A997" s="714" t="s">
        <v>84</v>
      </c>
      <c r="B997" s="716" t="s">
        <v>117</v>
      </c>
      <c r="C997" s="144" t="s">
        <v>398</v>
      </c>
      <c r="D997" s="717" t="s">
        <v>121</v>
      </c>
      <c r="E997" s="654">
        <f>E992+E993</f>
        <v>7.45</v>
      </c>
    </row>
    <row r="998" spans="1:5" s="647" customFormat="1" ht="12.75" hidden="1" customHeight="1" x14ac:dyDescent="0.25">
      <c r="A998" s="714" t="s">
        <v>85</v>
      </c>
      <c r="B998" s="715" t="s">
        <v>446</v>
      </c>
      <c r="C998" s="144" t="s">
        <v>398</v>
      </c>
      <c r="D998" s="65"/>
      <c r="E998" s="682">
        <f>E997*1.09</f>
        <v>8.1205000000000016</v>
      </c>
    </row>
    <row r="999" spans="1:5" s="647" customFormat="1" ht="12.75" hidden="1" customHeight="1" x14ac:dyDescent="0.25">
      <c r="A999" s="714" t="s">
        <v>87</v>
      </c>
      <c r="B999" s="715" t="s">
        <v>119</v>
      </c>
      <c r="C999" s="144" t="s">
        <v>398</v>
      </c>
      <c r="D999" s="389"/>
      <c r="E999" s="711">
        <v>7.37</v>
      </c>
    </row>
    <row r="1000" spans="1:5" s="647" customFormat="1" hidden="1" x14ac:dyDescent="0.25">
      <c r="A1000" s="256" t="s">
        <v>89</v>
      </c>
      <c r="B1000" s="65" t="s">
        <v>120</v>
      </c>
      <c r="C1000" s="76" t="s">
        <v>95</v>
      </c>
      <c r="D1000" s="65"/>
      <c r="E1000" s="655">
        <f>(E997/E999)*100-100</f>
        <v>1.0854816824966065</v>
      </c>
    </row>
    <row r="1001" spans="1:5" s="647" customFormat="1" ht="13.5" hidden="1" customHeight="1" x14ac:dyDescent="0.25">
      <c r="A1001" s="302" t="s">
        <v>252</v>
      </c>
      <c r="B1001" s="873" t="s">
        <v>249</v>
      </c>
      <c r="C1001" s="874"/>
      <c r="D1001" s="875"/>
      <c r="E1001" s="876"/>
    </row>
    <row r="1002" spans="1:5" s="647" customFormat="1" ht="14.25" hidden="1" customHeight="1" x14ac:dyDescent="0.25">
      <c r="A1002" s="720" t="s">
        <v>15</v>
      </c>
      <c r="B1002" s="608" t="s">
        <v>109</v>
      </c>
      <c r="C1002" s="445" t="s">
        <v>323</v>
      </c>
      <c r="D1002" s="717" t="s">
        <v>111</v>
      </c>
      <c r="E1002" s="669">
        <v>0.2</v>
      </c>
    </row>
    <row r="1003" spans="1:5" s="647" customFormat="1" ht="15.75" hidden="1" customHeight="1" x14ac:dyDescent="0.25">
      <c r="A1003" s="720" t="s">
        <v>21</v>
      </c>
      <c r="B1003" s="719" t="s">
        <v>112</v>
      </c>
      <c r="C1003" s="445" t="s">
        <v>323</v>
      </c>
      <c r="D1003" s="717" t="s">
        <v>425</v>
      </c>
      <c r="E1003" s="649">
        <f>51*E994/100+1*E995+0.034*E996</f>
        <v>7.1254200000000001</v>
      </c>
    </row>
    <row r="1004" spans="1:5" s="647" customFormat="1" ht="12.75" hidden="1" customHeight="1" x14ac:dyDescent="0.25">
      <c r="A1004" s="714" t="s">
        <v>60</v>
      </c>
      <c r="B1004" s="716" t="s">
        <v>117</v>
      </c>
      <c r="C1004" s="445" t="s">
        <v>323</v>
      </c>
      <c r="D1004" s="717" t="s">
        <v>121</v>
      </c>
      <c r="E1004" s="654">
        <f>ROUND(E1002+E1003,2)</f>
        <v>7.33</v>
      </c>
    </row>
    <row r="1005" spans="1:5" s="647" customFormat="1" ht="12.75" hidden="1" customHeight="1" thickBot="1" x14ac:dyDescent="0.3">
      <c r="A1005" s="683" t="s">
        <v>72</v>
      </c>
      <c r="B1005" s="684" t="s">
        <v>118</v>
      </c>
      <c r="C1005" s="685" t="s">
        <v>323</v>
      </c>
      <c r="D1005" s="686"/>
      <c r="E1005" s="687">
        <f>E1004*1.21</f>
        <v>8.8692999999999991</v>
      </c>
    </row>
    <row r="1006" spans="1:5" s="647" customFormat="1" ht="12.75" hidden="1" customHeight="1" x14ac:dyDescent="0.25">
      <c r="A1006" s="877"/>
      <c r="B1006" s="877"/>
      <c r="C1006" s="877"/>
      <c r="D1006" s="877"/>
      <c r="E1006" s="877"/>
    </row>
    <row r="1007" spans="1:5" ht="11.25" hidden="1" customHeight="1" x14ac:dyDescent="0.25">
      <c r="A1007" s="413"/>
      <c r="B1007" s="414"/>
      <c r="C1007" s="415"/>
      <c r="D1007" s="416"/>
      <c r="E1007" s="417"/>
    </row>
    <row r="1008" spans="1:5" hidden="1" x14ac:dyDescent="0.25">
      <c r="B1008" t="s">
        <v>189</v>
      </c>
      <c r="C1008" t="s">
        <v>193</v>
      </c>
      <c r="D1008" s="146" t="s">
        <v>190</v>
      </c>
    </row>
    <row r="1009" spans="1:5" ht="11.25" hidden="1" customHeight="1" x14ac:dyDescent="0.25">
      <c r="D1009" s="592" t="s">
        <v>332</v>
      </c>
      <c r="E1009" s="592"/>
    </row>
    <row r="1010" spans="1:5" ht="11.25" hidden="1" customHeight="1" x14ac:dyDescent="0.25">
      <c r="D1010" s="851" t="s">
        <v>333</v>
      </c>
      <c r="E1010" s="851"/>
    </row>
    <row r="1011" spans="1:5" ht="11.25" hidden="1" customHeight="1" x14ac:dyDescent="0.25">
      <c r="D1011" s="851" t="s">
        <v>334</v>
      </c>
      <c r="E1011" s="851"/>
    </row>
    <row r="1012" spans="1:5" ht="11.25" hidden="1" customHeight="1" x14ac:dyDescent="0.25">
      <c r="D1012" s="724" t="s">
        <v>396</v>
      </c>
      <c r="E1012" s="520"/>
    </row>
    <row r="1013" spans="1:5" ht="6" hidden="1" customHeight="1" x14ac:dyDescent="0.25">
      <c r="A1013" s="132"/>
      <c r="B1013" s="132"/>
      <c r="E1013" s="132"/>
    </row>
    <row r="1014" spans="1:5" ht="11.25" hidden="1" customHeight="1" x14ac:dyDescent="0.25">
      <c r="A1014" s="132" t="s">
        <v>335</v>
      </c>
      <c r="B1014" s="132"/>
      <c r="D1014" s="132" t="s">
        <v>336</v>
      </c>
    </row>
    <row r="1015" spans="1:5" ht="12.75" hidden="1" customHeight="1" x14ac:dyDescent="0.25">
      <c r="A1015" s="132" t="s">
        <v>1</v>
      </c>
      <c r="B1015" s="132"/>
      <c r="D1015" s="132" t="s">
        <v>305</v>
      </c>
    </row>
    <row r="1016" spans="1:5" ht="12.75" hidden="1" customHeight="1" x14ac:dyDescent="0.25">
      <c r="A1016" s="132" t="s">
        <v>2</v>
      </c>
      <c r="B1016" s="132"/>
      <c r="D1016" s="132" t="s">
        <v>339</v>
      </c>
    </row>
    <row r="1017" spans="1:5" ht="12.75" hidden="1" customHeight="1" x14ac:dyDescent="0.25">
      <c r="A1017" s="132" t="s">
        <v>3</v>
      </c>
      <c r="B1017" s="132"/>
      <c r="D1017" s="132" t="s">
        <v>169</v>
      </c>
    </row>
    <row r="1018" spans="1:5" ht="12.75" hidden="1" customHeight="1" x14ac:dyDescent="0.25">
      <c r="A1018" s="132" t="s">
        <v>4</v>
      </c>
      <c r="B1018" s="132"/>
      <c r="D1018" s="132" t="s">
        <v>317</v>
      </c>
    </row>
    <row r="1019" spans="1:5" ht="12.75" hidden="1" customHeight="1" x14ac:dyDescent="0.25">
      <c r="A1019" s="132" t="s">
        <v>321</v>
      </c>
      <c r="B1019" s="132"/>
      <c r="D1019" s="132"/>
    </row>
    <row r="1020" spans="1:5" ht="3" hidden="1" customHeight="1" x14ac:dyDescent="0.25">
      <c r="A1020" s="132"/>
      <c r="B1020" s="132"/>
      <c r="D1020" s="132"/>
    </row>
    <row r="1021" spans="1:5" ht="15" hidden="1" customHeight="1" x14ac:dyDescent="0.25">
      <c r="A1021" s="141"/>
      <c r="B1021" s="141" t="s">
        <v>449</v>
      </c>
      <c r="C1021" s="141"/>
      <c r="D1021" s="141"/>
      <c r="E1021" s="141"/>
    </row>
    <row r="1022" spans="1:5" s="521" customFormat="1" ht="12.75" hidden="1" customHeight="1" x14ac:dyDescent="0.25">
      <c r="C1022" s="644" t="s">
        <v>448</v>
      </c>
      <c r="D1022" s="590"/>
    </row>
    <row r="1023" spans="1:5" ht="9" hidden="1" customHeight="1" x14ac:dyDescent="0.25">
      <c r="C1023" s="591" t="s">
        <v>191</v>
      </c>
    </row>
    <row r="1024" spans="1:5" ht="13.5" hidden="1" customHeight="1" x14ac:dyDescent="0.25">
      <c r="A1024" s="483" t="s">
        <v>6</v>
      </c>
      <c r="B1024" s="2"/>
      <c r="C1024" s="2"/>
      <c r="D1024" s="2"/>
      <c r="E1024" s="522"/>
    </row>
    <row r="1025" spans="1:5" hidden="1" x14ac:dyDescent="0.25">
      <c r="A1025" s="482" t="s">
        <v>340</v>
      </c>
      <c r="B1025" s="1"/>
      <c r="C1025" s="1"/>
      <c r="D1025" s="1"/>
      <c r="E1025" s="463"/>
    </row>
    <row r="1026" spans="1:5" ht="6" hidden="1" customHeight="1" x14ac:dyDescent="0.25">
      <c r="A1026" s="482"/>
      <c r="B1026" s="1"/>
      <c r="C1026" s="1"/>
      <c r="D1026" s="1"/>
      <c r="E1026" s="463"/>
    </row>
    <row r="1027" spans="1:5" ht="12" hidden="1" customHeight="1" x14ac:dyDescent="0.25">
      <c r="A1027" s="1" t="s">
        <v>7</v>
      </c>
      <c r="B1027" s="1"/>
    </row>
    <row r="1028" spans="1:5" ht="18.75" hidden="1" customHeight="1" thickBot="1" x14ac:dyDescent="0.3">
      <c r="A1028" s="878" t="s">
        <v>423</v>
      </c>
      <c r="B1028" s="878"/>
      <c r="C1028" s="878"/>
      <c r="D1028" s="878"/>
      <c r="E1028" s="878"/>
    </row>
    <row r="1029" spans="1:5" s="647" customFormat="1" ht="11.25" hidden="1" customHeight="1" thickBot="1" x14ac:dyDescent="0.3">
      <c r="A1029" s="454" t="s">
        <v>8</v>
      </c>
      <c r="B1029" s="455" t="s">
        <v>9</v>
      </c>
      <c r="C1029" s="455" t="s">
        <v>10</v>
      </c>
      <c r="D1029" s="455" t="s">
        <v>11</v>
      </c>
      <c r="E1029" s="456" t="s">
        <v>12</v>
      </c>
    </row>
    <row r="1030" spans="1:5" s="647" customFormat="1" ht="13.5" hidden="1" customHeight="1" x14ac:dyDescent="0.25">
      <c r="A1030" s="302" t="s">
        <v>251</v>
      </c>
      <c r="B1030" s="873" t="s">
        <v>256</v>
      </c>
      <c r="C1030" s="874"/>
      <c r="D1030" s="875"/>
      <c r="E1030" s="876"/>
    </row>
    <row r="1031" spans="1:5" s="647" customFormat="1" ht="16.5" hidden="1" customHeight="1" x14ac:dyDescent="0.25">
      <c r="A1031" s="729" t="s">
        <v>15</v>
      </c>
      <c r="B1031" s="608" t="s">
        <v>109</v>
      </c>
      <c r="C1031" s="445" t="s">
        <v>397</v>
      </c>
      <c r="D1031" s="727" t="s">
        <v>111</v>
      </c>
      <c r="E1031" s="649">
        <v>0.2</v>
      </c>
    </row>
    <row r="1032" spans="1:5" s="647" customFormat="1" ht="15.75" hidden="1" customHeight="1" x14ac:dyDescent="0.25">
      <c r="A1032" s="659" t="s">
        <v>21</v>
      </c>
      <c r="B1032" s="645" t="s">
        <v>112</v>
      </c>
      <c r="C1032" s="445" t="s">
        <v>397</v>
      </c>
      <c r="D1032" s="646" t="s">
        <v>424</v>
      </c>
      <c r="E1032" s="649">
        <f>ROUND(51.85*E1033/100,2)+ROUND(1.017*E1034,2)+ROUND(0.034*E1035,2)</f>
        <v>7.13</v>
      </c>
    </row>
    <row r="1033" spans="1:5" s="647" customFormat="1" ht="13.5" hidden="1" customHeight="1" x14ac:dyDescent="0.25">
      <c r="A1033" s="386" t="s">
        <v>60</v>
      </c>
      <c r="B1033" s="389" t="s">
        <v>113</v>
      </c>
      <c r="C1033" s="650" t="s">
        <v>292</v>
      </c>
      <c r="D1033" s="387"/>
      <c r="E1033" s="710">
        <v>7.97</v>
      </c>
    </row>
    <row r="1034" spans="1:5" s="647" customFormat="1" ht="14.25" hidden="1" customHeight="1" x14ac:dyDescent="0.25">
      <c r="A1034" s="300" t="s">
        <v>72</v>
      </c>
      <c r="B1034" s="65" t="s">
        <v>114</v>
      </c>
      <c r="C1034" s="144" t="s">
        <v>398</v>
      </c>
      <c r="D1034" s="144" t="s">
        <v>414</v>
      </c>
      <c r="E1034" s="652">
        <v>2.82</v>
      </c>
    </row>
    <row r="1035" spans="1:5" s="647" customFormat="1" ht="13.5" hidden="1" customHeight="1" x14ac:dyDescent="0.25">
      <c r="A1035" s="392" t="s">
        <v>115</v>
      </c>
      <c r="B1035" s="388" t="s">
        <v>116</v>
      </c>
      <c r="C1035" s="144" t="s">
        <v>398</v>
      </c>
      <c r="D1035" s="402" t="s">
        <v>188</v>
      </c>
      <c r="E1035" s="653">
        <v>3.78</v>
      </c>
    </row>
    <row r="1036" spans="1:5" s="647" customFormat="1" ht="12.75" hidden="1" customHeight="1" x14ac:dyDescent="0.25">
      <c r="A1036" s="725" t="s">
        <v>84</v>
      </c>
      <c r="B1036" s="726" t="s">
        <v>117</v>
      </c>
      <c r="C1036" s="144" t="s">
        <v>398</v>
      </c>
      <c r="D1036" s="727" t="s">
        <v>121</v>
      </c>
      <c r="E1036" s="654">
        <f>E1031+E1032</f>
        <v>7.33</v>
      </c>
    </row>
    <row r="1037" spans="1:5" s="647" customFormat="1" ht="12.75" hidden="1" customHeight="1" x14ac:dyDescent="0.25">
      <c r="A1037" s="725" t="s">
        <v>85</v>
      </c>
      <c r="B1037" s="728" t="s">
        <v>446</v>
      </c>
      <c r="C1037" s="144" t="s">
        <v>398</v>
      </c>
      <c r="D1037" s="65"/>
      <c r="E1037" s="682">
        <f>E1036*1.09</f>
        <v>7.9897000000000009</v>
      </c>
    </row>
    <row r="1038" spans="1:5" s="647" customFormat="1" ht="12.75" hidden="1" customHeight="1" x14ac:dyDescent="0.25">
      <c r="A1038" s="725" t="s">
        <v>87</v>
      </c>
      <c r="B1038" s="728" t="s">
        <v>119</v>
      </c>
      <c r="C1038" s="144" t="s">
        <v>398</v>
      </c>
      <c r="D1038" s="389"/>
      <c r="E1038" s="711">
        <v>7.45</v>
      </c>
    </row>
    <row r="1039" spans="1:5" s="647" customFormat="1" hidden="1" x14ac:dyDescent="0.25">
      <c r="A1039" s="256" t="s">
        <v>89</v>
      </c>
      <c r="B1039" s="65" t="s">
        <v>120</v>
      </c>
      <c r="C1039" s="76" t="s">
        <v>95</v>
      </c>
      <c r="D1039" s="65"/>
      <c r="E1039" s="655">
        <f>(E1036/E1038)*100-100</f>
        <v>-1.6107382550335672</v>
      </c>
    </row>
    <row r="1040" spans="1:5" s="647" customFormat="1" ht="13.5" hidden="1" customHeight="1" x14ac:dyDescent="0.25">
      <c r="A1040" s="302" t="s">
        <v>252</v>
      </c>
      <c r="B1040" s="873" t="s">
        <v>249</v>
      </c>
      <c r="C1040" s="874"/>
      <c r="D1040" s="875"/>
      <c r="E1040" s="876"/>
    </row>
    <row r="1041" spans="1:5" s="647" customFormat="1" ht="14.25" hidden="1" customHeight="1" x14ac:dyDescent="0.25">
      <c r="A1041" s="729" t="s">
        <v>15</v>
      </c>
      <c r="B1041" s="608" t="s">
        <v>109</v>
      </c>
      <c r="C1041" s="445" t="s">
        <v>323</v>
      </c>
      <c r="D1041" s="727" t="s">
        <v>111</v>
      </c>
      <c r="E1041" s="669">
        <v>0.2</v>
      </c>
    </row>
    <row r="1042" spans="1:5" s="647" customFormat="1" ht="15.75" hidden="1" customHeight="1" x14ac:dyDescent="0.25">
      <c r="A1042" s="729" t="s">
        <v>21</v>
      </c>
      <c r="B1042" s="731" t="s">
        <v>112</v>
      </c>
      <c r="C1042" s="445" t="s">
        <v>323</v>
      </c>
      <c r="D1042" s="727" t="s">
        <v>425</v>
      </c>
      <c r="E1042" s="649">
        <f>51*E1033/100+1*E1034+0.034*E1035</f>
        <v>7.0132199999999987</v>
      </c>
    </row>
    <row r="1043" spans="1:5" s="647" customFormat="1" ht="12.75" hidden="1" customHeight="1" x14ac:dyDescent="0.25">
      <c r="A1043" s="725" t="s">
        <v>60</v>
      </c>
      <c r="B1043" s="726" t="s">
        <v>117</v>
      </c>
      <c r="C1043" s="445" t="s">
        <v>323</v>
      </c>
      <c r="D1043" s="727" t="s">
        <v>121</v>
      </c>
      <c r="E1043" s="654">
        <f>ROUND(E1041+E1042,2)</f>
        <v>7.21</v>
      </c>
    </row>
    <row r="1044" spans="1:5" s="647" customFormat="1" ht="12.75" hidden="1" customHeight="1" thickBot="1" x14ac:dyDescent="0.3">
      <c r="A1044" s="683" t="s">
        <v>72</v>
      </c>
      <c r="B1044" s="684" t="s">
        <v>118</v>
      </c>
      <c r="C1044" s="685" t="s">
        <v>323</v>
      </c>
      <c r="D1044" s="686"/>
      <c r="E1044" s="687">
        <f>E1043*1.21</f>
        <v>8.7241</v>
      </c>
    </row>
    <row r="1045" spans="1:5" s="647" customFormat="1" ht="12.75" hidden="1" customHeight="1" x14ac:dyDescent="0.25">
      <c r="A1045" s="877"/>
      <c r="B1045" s="877"/>
      <c r="C1045" s="877"/>
      <c r="D1045" s="877"/>
      <c r="E1045" s="877"/>
    </row>
    <row r="1046" spans="1:5" ht="11.25" hidden="1" customHeight="1" x14ac:dyDescent="0.25">
      <c r="A1046" s="413"/>
      <c r="B1046" s="414"/>
      <c r="C1046" s="415"/>
      <c r="D1046" s="416"/>
      <c r="E1046" s="417"/>
    </row>
    <row r="1047" spans="1:5" hidden="1" x14ac:dyDescent="0.25">
      <c r="B1047" t="s">
        <v>189</v>
      </c>
      <c r="C1047" t="s">
        <v>193</v>
      </c>
      <c r="D1047" s="146" t="s">
        <v>190</v>
      </c>
    </row>
    <row r="1048" spans="1:5" hidden="1" x14ac:dyDescent="0.25"/>
    <row r="1049" spans="1:5" ht="11.25" hidden="1" customHeight="1" x14ac:dyDescent="0.25">
      <c r="D1049" s="592" t="s">
        <v>332</v>
      </c>
      <c r="E1049" s="592"/>
    </row>
    <row r="1050" spans="1:5" ht="11.25" hidden="1" customHeight="1" x14ac:dyDescent="0.25">
      <c r="D1050" s="851" t="s">
        <v>333</v>
      </c>
      <c r="E1050" s="851"/>
    </row>
    <row r="1051" spans="1:5" ht="11.25" hidden="1" customHeight="1" x14ac:dyDescent="0.25">
      <c r="D1051" s="851" t="s">
        <v>334</v>
      </c>
      <c r="E1051" s="851"/>
    </row>
    <row r="1052" spans="1:5" ht="11.25" hidden="1" customHeight="1" x14ac:dyDescent="0.25">
      <c r="D1052" s="733" t="s">
        <v>396</v>
      </c>
      <c r="E1052" s="520"/>
    </row>
    <row r="1053" spans="1:5" ht="6" hidden="1" customHeight="1" x14ac:dyDescent="0.25">
      <c r="A1053" s="132"/>
      <c r="B1053" s="132"/>
      <c r="E1053" s="132"/>
    </row>
    <row r="1054" spans="1:5" ht="11.25" hidden="1" customHeight="1" x14ac:dyDescent="0.25">
      <c r="A1054" s="132" t="s">
        <v>335</v>
      </c>
      <c r="B1054" s="132"/>
      <c r="D1054" s="132" t="s">
        <v>336</v>
      </c>
    </row>
    <row r="1055" spans="1:5" ht="12.75" hidden="1" customHeight="1" x14ac:dyDescent="0.25">
      <c r="A1055" s="132" t="s">
        <v>1</v>
      </c>
      <c r="B1055" s="132"/>
      <c r="D1055" s="132" t="s">
        <v>454</v>
      </c>
    </row>
    <row r="1056" spans="1:5" ht="12.75" hidden="1" customHeight="1" x14ac:dyDescent="0.25">
      <c r="A1056" s="132" t="s">
        <v>2</v>
      </c>
      <c r="B1056" s="132"/>
      <c r="D1056" s="132" t="s">
        <v>339</v>
      </c>
    </row>
    <row r="1057" spans="1:5" ht="12.75" hidden="1" customHeight="1" x14ac:dyDescent="0.25">
      <c r="A1057" s="132" t="s">
        <v>3</v>
      </c>
      <c r="B1057" s="132"/>
      <c r="D1057" s="132" t="s">
        <v>169</v>
      </c>
    </row>
    <row r="1058" spans="1:5" ht="12.75" hidden="1" customHeight="1" x14ac:dyDescent="0.25">
      <c r="A1058" s="132" t="s">
        <v>4</v>
      </c>
      <c r="B1058" s="132"/>
      <c r="D1058" s="132" t="s">
        <v>455</v>
      </c>
    </row>
    <row r="1059" spans="1:5" ht="12.75" hidden="1" customHeight="1" x14ac:dyDescent="0.25">
      <c r="A1059" s="132" t="s">
        <v>321</v>
      </c>
      <c r="B1059" s="132"/>
      <c r="D1059" s="132"/>
    </row>
    <row r="1060" spans="1:5" ht="3" hidden="1" customHeight="1" x14ac:dyDescent="0.25">
      <c r="A1060" s="132"/>
      <c r="B1060" s="132"/>
      <c r="D1060" s="132"/>
    </row>
    <row r="1061" spans="1:5" ht="15" hidden="1" customHeight="1" x14ac:dyDescent="0.25">
      <c r="A1061" s="141"/>
      <c r="B1061" s="141" t="s">
        <v>450</v>
      </c>
      <c r="C1061" s="141"/>
      <c r="D1061" s="141"/>
      <c r="E1061" s="141"/>
    </row>
    <row r="1062" spans="1:5" s="521" customFormat="1" ht="12.75" hidden="1" customHeight="1" x14ac:dyDescent="0.25">
      <c r="C1062" s="644" t="s">
        <v>453</v>
      </c>
      <c r="D1062" s="590"/>
    </row>
    <row r="1063" spans="1:5" ht="9" hidden="1" customHeight="1" x14ac:dyDescent="0.25">
      <c r="C1063" s="591" t="s">
        <v>191</v>
      </c>
    </row>
    <row r="1064" spans="1:5" ht="13.5" hidden="1" customHeight="1" x14ac:dyDescent="0.25">
      <c r="A1064" s="483" t="s">
        <v>6</v>
      </c>
      <c r="B1064" s="2"/>
      <c r="C1064" s="2"/>
      <c r="D1064" s="2"/>
      <c r="E1064" s="522"/>
    </row>
    <row r="1065" spans="1:5" hidden="1" x14ac:dyDescent="0.25">
      <c r="A1065" s="482" t="s">
        <v>340</v>
      </c>
      <c r="B1065" s="1"/>
      <c r="C1065" s="1"/>
      <c r="D1065" s="1"/>
      <c r="E1065" s="463"/>
    </row>
    <row r="1066" spans="1:5" ht="6" hidden="1" customHeight="1" x14ac:dyDescent="0.25">
      <c r="A1066" s="482"/>
      <c r="B1066" s="1"/>
      <c r="C1066" s="1"/>
      <c r="D1066" s="1"/>
      <c r="E1066" s="463"/>
    </row>
    <row r="1067" spans="1:5" ht="12" hidden="1" customHeight="1" x14ac:dyDescent="0.25">
      <c r="A1067" s="1" t="s">
        <v>7</v>
      </c>
      <c r="B1067" s="1"/>
    </row>
    <row r="1068" spans="1:5" ht="18.75" hidden="1" customHeight="1" thickBot="1" x14ac:dyDescent="0.3">
      <c r="A1068" s="878" t="s">
        <v>423</v>
      </c>
      <c r="B1068" s="878"/>
      <c r="C1068" s="878"/>
      <c r="D1068" s="878"/>
      <c r="E1068" s="878"/>
    </row>
    <row r="1069" spans="1:5" s="647" customFormat="1" ht="11.25" hidden="1" customHeight="1" thickBot="1" x14ac:dyDescent="0.3">
      <c r="A1069" s="454" t="s">
        <v>8</v>
      </c>
      <c r="B1069" s="455" t="s">
        <v>9</v>
      </c>
      <c r="C1069" s="455" t="s">
        <v>10</v>
      </c>
      <c r="D1069" s="455" t="s">
        <v>11</v>
      </c>
      <c r="E1069" s="456" t="s">
        <v>12</v>
      </c>
    </row>
    <row r="1070" spans="1:5" s="647" customFormat="1" ht="13.5" hidden="1" customHeight="1" x14ac:dyDescent="0.25">
      <c r="A1070" s="302" t="s">
        <v>251</v>
      </c>
      <c r="B1070" s="873" t="s">
        <v>256</v>
      </c>
      <c r="C1070" s="874"/>
      <c r="D1070" s="875"/>
      <c r="E1070" s="876"/>
    </row>
    <row r="1071" spans="1:5" s="647" customFormat="1" ht="16.5" hidden="1" customHeight="1" x14ac:dyDescent="0.25">
      <c r="A1071" s="740" t="s">
        <v>15</v>
      </c>
      <c r="B1071" s="608" t="s">
        <v>109</v>
      </c>
      <c r="C1071" s="445" t="s">
        <v>397</v>
      </c>
      <c r="D1071" s="737" t="s">
        <v>111</v>
      </c>
      <c r="E1071" s="649">
        <v>0.2</v>
      </c>
    </row>
    <row r="1072" spans="1:5" s="647" customFormat="1" ht="15.75" hidden="1" customHeight="1" x14ac:dyDescent="0.25">
      <c r="A1072" s="659" t="s">
        <v>21</v>
      </c>
      <c r="B1072" s="645" t="s">
        <v>112</v>
      </c>
      <c r="C1072" s="445" t="s">
        <v>397</v>
      </c>
      <c r="D1072" s="646" t="s">
        <v>424</v>
      </c>
      <c r="E1072" s="649">
        <f>ROUND(51.85*E1073/100,2)+ROUND(1.017*E1074,2)+ROUND(0.034*E1075,2)</f>
        <v>7.46</v>
      </c>
    </row>
    <row r="1073" spans="1:5" s="647" customFormat="1" ht="13.5" hidden="1" customHeight="1" x14ac:dyDescent="0.25">
      <c r="A1073" s="386" t="s">
        <v>60</v>
      </c>
      <c r="B1073" s="389" t="s">
        <v>113</v>
      </c>
      <c r="C1073" s="650" t="s">
        <v>292</v>
      </c>
      <c r="D1073" s="387"/>
      <c r="E1073" s="710">
        <v>8.6</v>
      </c>
    </row>
    <row r="1074" spans="1:5" s="647" customFormat="1" ht="14.25" hidden="1" customHeight="1" x14ac:dyDescent="0.25">
      <c r="A1074" s="300" t="s">
        <v>72</v>
      </c>
      <c r="B1074" s="65" t="s">
        <v>114</v>
      </c>
      <c r="C1074" s="144" t="s">
        <v>398</v>
      </c>
      <c r="D1074" s="144" t="s">
        <v>414</v>
      </c>
      <c r="E1074" s="652">
        <v>2.82</v>
      </c>
    </row>
    <row r="1075" spans="1:5" s="647" customFormat="1" ht="13.5" hidden="1" customHeight="1" x14ac:dyDescent="0.25">
      <c r="A1075" s="392" t="s">
        <v>115</v>
      </c>
      <c r="B1075" s="388" t="s">
        <v>116</v>
      </c>
      <c r="C1075" s="144" t="s">
        <v>398</v>
      </c>
      <c r="D1075" s="402" t="s">
        <v>188</v>
      </c>
      <c r="E1075" s="653">
        <v>3.78</v>
      </c>
    </row>
    <row r="1076" spans="1:5" s="647" customFormat="1" ht="12.75" hidden="1" customHeight="1" x14ac:dyDescent="0.25">
      <c r="A1076" s="734" t="s">
        <v>84</v>
      </c>
      <c r="B1076" s="736" t="s">
        <v>117</v>
      </c>
      <c r="C1076" s="144" t="s">
        <v>398</v>
      </c>
      <c r="D1076" s="737" t="s">
        <v>121</v>
      </c>
      <c r="E1076" s="654">
        <f>E1071+E1072</f>
        <v>7.66</v>
      </c>
    </row>
    <row r="1077" spans="1:5" s="647" customFormat="1" ht="12.75" hidden="1" customHeight="1" x14ac:dyDescent="0.25">
      <c r="A1077" s="734" t="s">
        <v>85</v>
      </c>
      <c r="B1077" s="735" t="s">
        <v>446</v>
      </c>
      <c r="C1077" s="144" t="s">
        <v>398</v>
      </c>
      <c r="D1077" s="65"/>
      <c r="E1077" s="682">
        <f>E1076*1.09</f>
        <v>8.349400000000001</v>
      </c>
    </row>
    <row r="1078" spans="1:5" s="647" customFormat="1" ht="12.75" hidden="1" customHeight="1" x14ac:dyDescent="0.25">
      <c r="A1078" s="734" t="s">
        <v>87</v>
      </c>
      <c r="B1078" s="735" t="s">
        <v>119</v>
      </c>
      <c r="C1078" s="144" t="s">
        <v>398</v>
      </c>
      <c r="D1078" s="389"/>
      <c r="E1078" s="711">
        <v>7.51</v>
      </c>
    </row>
    <row r="1079" spans="1:5" s="647" customFormat="1" hidden="1" x14ac:dyDescent="0.25">
      <c r="A1079" s="256" t="s">
        <v>89</v>
      </c>
      <c r="B1079" s="65" t="s">
        <v>120</v>
      </c>
      <c r="C1079" s="76" t="s">
        <v>95</v>
      </c>
      <c r="D1079" s="65"/>
      <c r="E1079" s="655">
        <f>(E1076/E1078)*100-100</f>
        <v>1.9973368841544641</v>
      </c>
    </row>
    <row r="1080" spans="1:5" s="647" customFormat="1" ht="13.5" hidden="1" customHeight="1" x14ac:dyDescent="0.25">
      <c r="A1080" s="302" t="s">
        <v>252</v>
      </c>
      <c r="B1080" s="873" t="s">
        <v>249</v>
      </c>
      <c r="C1080" s="874"/>
      <c r="D1080" s="875"/>
      <c r="E1080" s="876"/>
    </row>
    <row r="1081" spans="1:5" s="647" customFormat="1" ht="14.25" hidden="1" customHeight="1" x14ac:dyDescent="0.25">
      <c r="A1081" s="740" t="s">
        <v>15</v>
      </c>
      <c r="B1081" s="608" t="s">
        <v>109</v>
      </c>
      <c r="C1081" s="445" t="s">
        <v>323</v>
      </c>
      <c r="D1081" s="737" t="s">
        <v>111</v>
      </c>
      <c r="E1081" s="669">
        <v>0.2</v>
      </c>
    </row>
    <row r="1082" spans="1:5" s="647" customFormat="1" ht="15.75" hidden="1" customHeight="1" x14ac:dyDescent="0.25">
      <c r="A1082" s="740" t="s">
        <v>21</v>
      </c>
      <c r="B1082" s="739" t="s">
        <v>112</v>
      </c>
      <c r="C1082" s="445" t="s">
        <v>323</v>
      </c>
      <c r="D1082" s="737" t="s">
        <v>425</v>
      </c>
      <c r="E1082" s="649">
        <f>51*E1073/100+1*E1074+0.034*E1075</f>
        <v>7.3345199999999995</v>
      </c>
    </row>
    <row r="1083" spans="1:5" s="647" customFormat="1" ht="12.75" hidden="1" customHeight="1" x14ac:dyDescent="0.25">
      <c r="A1083" s="734" t="s">
        <v>60</v>
      </c>
      <c r="B1083" s="736" t="s">
        <v>117</v>
      </c>
      <c r="C1083" s="445" t="s">
        <v>323</v>
      </c>
      <c r="D1083" s="737" t="s">
        <v>121</v>
      </c>
      <c r="E1083" s="654">
        <f>ROUND(E1081+E1082,2)</f>
        <v>7.53</v>
      </c>
    </row>
    <row r="1084" spans="1:5" s="647" customFormat="1" ht="12.75" hidden="1" customHeight="1" thickBot="1" x14ac:dyDescent="0.3">
      <c r="A1084" s="683" t="s">
        <v>72</v>
      </c>
      <c r="B1084" s="684" t="s">
        <v>118</v>
      </c>
      <c r="C1084" s="685" t="s">
        <v>323</v>
      </c>
      <c r="D1084" s="686"/>
      <c r="E1084" s="687">
        <f>E1083*1.21</f>
        <v>9.1113</v>
      </c>
    </row>
    <row r="1085" spans="1:5" s="647" customFormat="1" ht="12.75" hidden="1" customHeight="1" x14ac:dyDescent="0.25">
      <c r="A1085" s="877"/>
      <c r="B1085" s="877"/>
      <c r="C1085" s="877"/>
      <c r="D1085" s="877"/>
      <c r="E1085" s="877"/>
    </row>
    <row r="1086" spans="1:5" ht="11.25" hidden="1" customHeight="1" x14ac:dyDescent="0.25">
      <c r="A1086" s="413"/>
      <c r="B1086" s="414"/>
      <c r="C1086" s="415"/>
      <c r="D1086" s="416"/>
      <c r="E1086" s="417"/>
    </row>
    <row r="1087" spans="1:5" hidden="1" x14ac:dyDescent="0.25">
      <c r="B1087" t="s">
        <v>189</v>
      </c>
      <c r="C1087" t="s">
        <v>193</v>
      </c>
      <c r="D1087" s="146" t="s">
        <v>190</v>
      </c>
    </row>
    <row r="1088" spans="1:5" hidden="1" x14ac:dyDescent="0.25"/>
    <row r="1089" spans="1:5" hidden="1" x14ac:dyDescent="0.25"/>
    <row r="1090" spans="1:5" hidden="1" x14ac:dyDescent="0.25">
      <c r="D1090" s="592" t="s">
        <v>332</v>
      </c>
      <c r="E1090" s="592"/>
    </row>
    <row r="1091" spans="1:5" hidden="1" x14ac:dyDescent="0.25">
      <c r="D1091" s="851" t="s">
        <v>333</v>
      </c>
      <c r="E1091" s="851"/>
    </row>
    <row r="1092" spans="1:5" hidden="1" x14ac:dyDescent="0.25">
      <c r="D1092" s="851" t="s">
        <v>334</v>
      </c>
      <c r="E1092" s="851"/>
    </row>
    <row r="1093" spans="1:5" hidden="1" x14ac:dyDescent="0.25">
      <c r="D1093" s="741" t="s">
        <v>396</v>
      </c>
      <c r="E1093" s="520"/>
    </row>
    <row r="1094" spans="1:5" ht="12" hidden="1" customHeight="1" x14ac:dyDescent="0.25">
      <c r="A1094" s="132"/>
      <c r="B1094" s="132"/>
      <c r="E1094" s="132"/>
    </row>
    <row r="1095" spans="1:5" hidden="1" x14ac:dyDescent="0.25">
      <c r="A1095" s="132" t="s">
        <v>335</v>
      </c>
      <c r="B1095" s="132"/>
      <c r="D1095" s="132" t="s">
        <v>336</v>
      </c>
    </row>
    <row r="1096" spans="1:5" hidden="1" x14ac:dyDescent="0.25">
      <c r="A1096" s="132" t="s">
        <v>1</v>
      </c>
      <c r="B1096" s="132"/>
      <c r="D1096" s="132" t="s">
        <v>454</v>
      </c>
    </row>
    <row r="1097" spans="1:5" hidden="1" x14ac:dyDescent="0.25">
      <c r="A1097" s="132" t="s">
        <v>2</v>
      </c>
      <c r="B1097" s="132"/>
      <c r="D1097" s="132" t="s">
        <v>339</v>
      </c>
    </row>
    <row r="1098" spans="1:5" hidden="1" x14ac:dyDescent="0.25">
      <c r="A1098" s="132" t="s">
        <v>3</v>
      </c>
      <c r="B1098" s="132"/>
      <c r="D1098" s="132" t="s">
        <v>169</v>
      </c>
    </row>
    <row r="1099" spans="1:5" hidden="1" x14ac:dyDescent="0.25">
      <c r="A1099" s="132" t="s">
        <v>4</v>
      </c>
      <c r="B1099" s="132"/>
      <c r="D1099" s="132" t="s">
        <v>455</v>
      </c>
    </row>
    <row r="1100" spans="1:5" hidden="1" x14ac:dyDescent="0.25">
      <c r="A1100" s="132" t="s">
        <v>321</v>
      </c>
      <c r="B1100" s="132"/>
      <c r="D1100" s="132"/>
    </row>
    <row r="1101" spans="1:5" hidden="1" x14ac:dyDescent="0.25">
      <c r="A1101" s="132"/>
      <c r="B1101" s="132"/>
      <c r="D1101" s="132"/>
    </row>
    <row r="1102" spans="1:5" ht="15.75" hidden="1" x14ac:dyDescent="0.25">
      <c r="A1102" s="141"/>
      <c r="B1102" s="141" t="s">
        <v>457</v>
      </c>
      <c r="C1102" s="141"/>
      <c r="D1102" s="141"/>
      <c r="E1102" s="141"/>
    </row>
    <row r="1103" spans="1:5" hidden="1" x14ac:dyDescent="0.25">
      <c r="A1103" s="521"/>
      <c r="B1103" s="521"/>
      <c r="C1103" s="644" t="s">
        <v>458</v>
      </c>
      <c r="D1103" s="590"/>
      <c r="E1103" s="521"/>
    </row>
    <row r="1104" spans="1:5" hidden="1" x14ac:dyDescent="0.25">
      <c r="C1104" s="591" t="s">
        <v>191</v>
      </c>
    </row>
    <row r="1105" spans="1:5" hidden="1" x14ac:dyDescent="0.25">
      <c r="A1105" s="483" t="s">
        <v>6</v>
      </c>
      <c r="B1105" s="2"/>
      <c r="C1105" s="2"/>
      <c r="D1105" s="2"/>
      <c r="E1105" s="522"/>
    </row>
    <row r="1106" spans="1:5" hidden="1" x14ac:dyDescent="0.25">
      <c r="A1106" s="482" t="s">
        <v>340</v>
      </c>
      <c r="B1106" s="1"/>
      <c r="C1106" s="1"/>
      <c r="D1106" s="1"/>
      <c r="E1106" s="463"/>
    </row>
    <row r="1107" spans="1:5" ht="13.5" hidden="1" customHeight="1" x14ac:dyDescent="0.25">
      <c r="A1107" s="482"/>
      <c r="B1107" s="1"/>
      <c r="C1107" s="1"/>
      <c r="D1107" s="1"/>
      <c r="E1107" s="463"/>
    </row>
    <row r="1108" spans="1:5" hidden="1" x14ac:dyDescent="0.25">
      <c r="A1108" s="1" t="s">
        <v>7</v>
      </c>
      <c r="B1108" s="1"/>
    </row>
    <row r="1109" spans="1:5" ht="15.75" hidden="1" thickBot="1" x14ac:dyDescent="0.3">
      <c r="A1109" s="878" t="s">
        <v>423</v>
      </c>
      <c r="B1109" s="878"/>
      <c r="C1109" s="878"/>
      <c r="D1109" s="878"/>
      <c r="E1109" s="878"/>
    </row>
    <row r="1110" spans="1:5" ht="15.75" hidden="1" thickBot="1" x14ac:dyDescent="0.3">
      <c r="A1110" s="454" t="s">
        <v>8</v>
      </c>
      <c r="B1110" s="455" t="s">
        <v>9</v>
      </c>
      <c r="C1110" s="455" t="s">
        <v>10</v>
      </c>
      <c r="D1110" s="455" t="s">
        <v>11</v>
      </c>
      <c r="E1110" s="456" t="s">
        <v>12</v>
      </c>
    </row>
    <row r="1111" spans="1:5" hidden="1" x14ac:dyDescent="0.25">
      <c r="A1111" s="302" t="s">
        <v>251</v>
      </c>
      <c r="B1111" s="873" t="s">
        <v>256</v>
      </c>
      <c r="C1111" s="874"/>
      <c r="D1111" s="875"/>
      <c r="E1111" s="876"/>
    </row>
    <row r="1112" spans="1:5" hidden="1" x14ac:dyDescent="0.25">
      <c r="A1112" s="747" t="s">
        <v>15</v>
      </c>
      <c r="B1112" s="608" t="s">
        <v>109</v>
      </c>
      <c r="C1112" s="445" t="s">
        <v>397</v>
      </c>
      <c r="D1112" s="745" t="s">
        <v>111</v>
      </c>
      <c r="E1112" s="649">
        <v>0.2</v>
      </c>
    </row>
    <row r="1113" spans="1:5" hidden="1" x14ac:dyDescent="0.25">
      <c r="A1113" s="659" t="s">
        <v>21</v>
      </c>
      <c r="B1113" s="645" t="s">
        <v>112</v>
      </c>
      <c r="C1113" s="445" t="s">
        <v>397</v>
      </c>
      <c r="D1113" s="646" t="s">
        <v>424</v>
      </c>
      <c r="E1113" s="649">
        <f>ROUND(51.85*E1114/100,2)+ROUND(1.017*E1115,2)+ROUND(0.034*E1116,2)</f>
        <v>7.43</v>
      </c>
    </row>
    <row r="1114" spans="1:5" hidden="1" x14ac:dyDescent="0.25">
      <c r="A1114" s="386" t="s">
        <v>60</v>
      </c>
      <c r="B1114" s="389" t="s">
        <v>113</v>
      </c>
      <c r="C1114" s="650" t="s">
        <v>292</v>
      </c>
      <c r="D1114" s="387"/>
      <c r="E1114" s="710">
        <v>8.5399999999999991</v>
      </c>
    </row>
    <row r="1115" spans="1:5" hidden="1" x14ac:dyDescent="0.25">
      <c r="A1115" s="300" t="s">
        <v>72</v>
      </c>
      <c r="B1115" s="65" t="s">
        <v>114</v>
      </c>
      <c r="C1115" s="144" t="s">
        <v>398</v>
      </c>
      <c r="D1115" s="144" t="s">
        <v>414</v>
      </c>
      <c r="E1115" s="652">
        <v>2.82</v>
      </c>
    </row>
    <row r="1116" spans="1:5" hidden="1" x14ac:dyDescent="0.25">
      <c r="A1116" s="392" t="s">
        <v>115</v>
      </c>
      <c r="B1116" s="388" t="s">
        <v>116</v>
      </c>
      <c r="C1116" s="144" t="s">
        <v>398</v>
      </c>
      <c r="D1116" s="402" t="s">
        <v>188</v>
      </c>
      <c r="E1116" s="653">
        <v>3.78</v>
      </c>
    </row>
    <row r="1117" spans="1:5" hidden="1" x14ac:dyDescent="0.25">
      <c r="A1117" s="743" t="s">
        <v>84</v>
      </c>
      <c r="B1117" s="744" t="s">
        <v>117</v>
      </c>
      <c r="C1117" s="144" t="s">
        <v>398</v>
      </c>
      <c r="D1117" s="745" t="s">
        <v>121</v>
      </c>
      <c r="E1117" s="654">
        <f>E1112+E1113</f>
        <v>7.63</v>
      </c>
    </row>
    <row r="1118" spans="1:5" hidden="1" x14ac:dyDescent="0.25">
      <c r="A1118" s="743" t="s">
        <v>85</v>
      </c>
      <c r="B1118" s="746" t="s">
        <v>446</v>
      </c>
      <c r="C1118" s="144" t="s">
        <v>398</v>
      </c>
      <c r="D1118" s="65"/>
      <c r="E1118" s="682">
        <f>E1117*1.09</f>
        <v>8.3167000000000009</v>
      </c>
    </row>
    <row r="1119" spans="1:5" hidden="1" x14ac:dyDescent="0.25">
      <c r="A1119" s="743" t="s">
        <v>87</v>
      </c>
      <c r="B1119" s="746" t="s">
        <v>119</v>
      </c>
      <c r="C1119" s="144" t="s">
        <v>398</v>
      </c>
      <c r="D1119" s="389"/>
      <c r="E1119" s="711">
        <v>7.66</v>
      </c>
    </row>
    <row r="1120" spans="1:5" hidden="1" x14ac:dyDescent="0.25">
      <c r="A1120" s="256" t="s">
        <v>89</v>
      </c>
      <c r="B1120" s="65" t="s">
        <v>120</v>
      </c>
      <c r="C1120" s="76" t="s">
        <v>95</v>
      </c>
      <c r="D1120" s="65"/>
      <c r="E1120" s="655">
        <f>(E1117/E1119)*100-100</f>
        <v>-0.39164490861620038</v>
      </c>
    </row>
    <row r="1121" spans="1:5" hidden="1" x14ac:dyDescent="0.25">
      <c r="A1121" s="302" t="s">
        <v>252</v>
      </c>
      <c r="B1121" s="873" t="s">
        <v>249</v>
      </c>
      <c r="C1121" s="874"/>
      <c r="D1121" s="875"/>
      <c r="E1121" s="876"/>
    </row>
    <row r="1122" spans="1:5" hidden="1" x14ac:dyDescent="0.25">
      <c r="A1122" s="747" t="s">
        <v>15</v>
      </c>
      <c r="B1122" s="608" t="s">
        <v>109</v>
      </c>
      <c r="C1122" s="445" t="s">
        <v>323</v>
      </c>
      <c r="D1122" s="745" t="s">
        <v>111</v>
      </c>
      <c r="E1122" s="669">
        <v>0.2</v>
      </c>
    </row>
    <row r="1123" spans="1:5" hidden="1" x14ac:dyDescent="0.25">
      <c r="A1123" s="747" t="s">
        <v>21</v>
      </c>
      <c r="B1123" s="749" t="s">
        <v>112</v>
      </c>
      <c r="C1123" s="445" t="s">
        <v>323</v>
      </c>
      <c r="D1123" s="745" t="s">
        <v>425</v>
      </c>
      <c r="E1123" s="649">
        <f>51*E1114/100+1*E1115+0.034*E1116</f>
        <v>7.3039199999999997</v>
      </c>
    </row>
    <row r="1124" spans="1:5" hidden="1" x14ac:dyDescent="0.25">
      <c r="A1124" s="743" t="s">
        <v>60</v>
      </c>
      <c r="B1124" s="744" t="s">
        <v>117</v>
      </c>
      <c r="C1124" s="445" t="s">
        <v>323</v>
      </c>
      <c r="D1124" s="745" t="s">
        <v>121</v>
      </c>
      <c r="E1124" s="654">
        <f>ROUND(E1122+E1123,2)</f>
        <v>7.5</v>
      </c>
    </row>
    <row r="1125" spans="1:5" ht="15.75" hidden="1" thickBot="1" x14ac:dyDescent="0.3">
      <c r="A1125" s="683" t="s">
        <v>72</v>
      </c>
      <c r="B1125" s="684" t="s">
        <v>118</v>
      </c>
      <c r="C1125" s="685" t="s">
        <v>323</v>
      </c>
      <c r="D1125" s="686"/>
      <c r="E1125" s="687">
        <f>E1124*1.21</f>
        <v>9.0749999999999993</v>
      </c>
    </row>
    <row r="1126" spans="1:5" hidden="1" x14ac:dyDescent="0.25">
      <c r="A1126" s="877"/>
      <c r="B1126" s="877"/>
      <c r="C1126" s="877"/>
      <c r="D1126" s="877"/>
      <c r="E1126" s="877"/>
    </row>
    <row r="1127" spans="1:5" hidden="1" x14ac:dyDescent="0.25">
      <c r="A1127" s="413"/>
      <c r="B1127" s="414"/>
      <c r="C1127" s="415"/>
      <c r="D1127" s="416"/>
      <c r="E1127" s="417"/>
    </row>
    <row r="1128" spans="1:5" hidden="1" x14ac:dyDescent="0.25">
      <c r="B1128" t="s">
        <v>189</v>
      </c>
      <c r="C1128" t="s">
        <v>193</v>
      </c>
      <c r="D1128" s="146" t="s">
        <v>190</v>
      </c>
    </row>
    <row r="1133" spans="1:5" x14ac:dyDescent="0.25">
      <c r="D1133" s="592" t="s">
        <v>332</v>
      </c>
      <c r="E1133" s="592"/>
    </row>
    <row r="1134" spans="1:5" x14ac:dyDescent="0.25">
      <c r="D1134" s="851" t="s">
        <v>333</v>
      </c>
      <c r="E1134" s="851"/>
    </row>
    <row r="1135" spans="1:5" x14ac:dyDescent="0.25">
      <c r="D1135" s="851" t="s">
        <v>334</v>
      </c>
      <c r="E1135" s="851"/>
    </row>
    <row r="1136" spans="1:5" x14ac:dyDescent="0.25">
      <c r="D1136" s="750" t="s">
        <v>396</v>
      </c>
      <c r="E1136" s="520"/>
    </row>
    <row r="1137" spans="1:5" x14ac:dyDescent="0.25">
      <c r="A1137" s="132"/>
      <c r="B1137" s="132"/>
      <c r="E1137" s="132"/>
    </row>
    <row r="1138" spans="1:5" x14ac:dyDescent="0.25">
      <c r="A1138" s="132" t="s">
        <v>335</v>
      </c>
      <c r="B1138" s="132"/>
      <c r="D1138" s="132" t="s">
        <v>336</v>
      </c>
    </row>
    <row r="1139" spans="1:5" x14ac:dyDescent="0.25">
      <c r="A1139" s="132" t="s">
        <v>1</v>
      </c>
      <c r="B1139" s="132"/>
      <c r="D1139" s="132" t="s">
        <v>514</v>
      </c>
    </row>
    <row r="1140" spans="1:5" x14ac:dyDescent="0.25">
      <c r="A1140" s="132" t="s">
        <v>2</v>
      </c>
      <c r="B1140" s="132"/>
      <c r="D1140" s="132" t="s">
        <v>339</v>
      </c>
    </row>
    <row r="1141" spans="1:5" x14ac:dyDescent="0.25">
      <c r="A1141" s="132" t="s">
        <v>3</v>
      </c>
      <c r="B1141" s="132"/>
      <c r="D1141" s="132" t="s">
        <v>169</v>
      </c>
    </row>
    <row r="1142" spans="1:5" x14ac:dyDescent="0.25">
      <c r="A1142" s="132" t="s">
        <v>4</v>
      </c>
      <c r="B1142" s="132"/>
      <c r="D1142" s="132" t="s">
        <v>455</v>
      </c>
    </row>
    <row r="1143" spans="1:5" x14ac:dyDescent="0.25">
      <c r="A1143" s="132" t="s">
        <v>321</v>
      </c>
      <c r="B1143" s="132"/>
      <c r="D1143" s="132"/>
    </row>
    <row r="1144" spans="1:5" x14ac:dyDescent="0.25">
      <c r="A1144" s="132"/>
      <c r="B1144" s="132"/>
      <c r="D1144" s="132"/>
    </row>
    <row r="1145" spans="1:5" ht="15.75" x14ac:dyDescent="0.25">
      <c r="A1145" s="141"/>
      <c r="B1145" s="141" t="s">
        <v>527</v>
      </c>
      <c r="C1145" s="141"/>
      <c r="D1145" s="141"/>
      <c r="E1145" s="141"/>
    </row>
    <row r="1146" spans="1:5" x14ac:dyDescent="0.25">
      <c r="A1146" s="521"/>
      <c r="B1146" s="521"/>
      <c r="C1146" s="644" t="s">
        <v>517</v>
      </c>
      <c r="D1146" s="590"/>
      <c r="E1146" s="521"/>
    </row>
    <row r="1147" spans="1:5" x14ac:dyDescent="0.25">
      <c r="C1147" s="591" t="s">
        <v>191</v>
      </c>
    </row>
    <row r="1148" spans="1:5" x14ac:dyDescent="0.25">
      <c r="A1148" s="483" t="s">
        <v>6</v>
      </c>
      <c r="B1148" s="2"/>
      <c r="C1148" s="2"/>
      <c r="D1148" s="2"/>
      <c r="E1148" s="522"/>
    </row>
    <row r="1149" spans="1:5" x14ac:dyDescent="0.25">
      <c r="A1149" s="482" t="s">
        <v>340</v>
      </c>
      <c r="B1149" s="1"/>
      <c r="C1149" s="1"/>
      <c r="D1149" s="1"/>
      <c r="E1149" s="463"/>
    </row>
    <row r="1150" spans="1:5" x14ac:dyDescent="0.25">
      <c r="A1150" s="482"/>
      <c r="B1150" s="1"/>
      <c r="C1150" s="1"/>
      <c r="D1150" s="1"/>
      <c r="E1150" s="463"/>
    </row>
    <row r="1151" spans="1:5" x14ac:dyDescent="0.25">
      <c r="A1151" s="1" t="s">
        <v>7</v>
      </c>
      <c r="B1151" s="1"/>
    </row>
    <row r="1152" spans="1:5" ht="15.75" thickBot="1" x14ac:dyDescent="0.3">
      <c r="A1152" s="878" t="s">
        <v>423</v>
      </c>
      <c r="B1152" s="878"/>
      <c r="C1152" s="878"/>
      <c r="D1152" s="878"/>
      <c r="E1152" s="878"/>
    </row>
    <row r="1153" spans="1:7" ht="15.75" thickBot="1" x14ac:dyDescent="0.3">
      <c r="A1153" s="454" t="s">
        <v>8</v>
      </c>
      <c r="B1153" s="455" t="s">
        <v>9</v>
      </c>
      <c r="C1153" s="455" t="s">
        <v>10</v>
      </c>
      <c r="D1153" s="455" t="s">
        <v>11</v>
      </c>
      <c r="E1153" s="456" t="s">
        <v>12</v>
      </c>
      <c r="F1153" s="762" t="s">
        <v>516</v>
      </c>
      <c r="G1153" s="762"/>
    </row>
    <row r="1154" spans="1:7" x14ac:dyDescent="0.25">
      <c r="A1154" s="302" t="s">
        <v>251</v>
      </c>
      <c r="B1154" s="873" t="s">
        <v>256</v>
      </c>
      <c r="C1154" s="874"/>
      <c r="D1154" s="875"/>
      <c r="E1154" s="876"/>
    </row>
    <row r="1155" spans="1:7" x14ac:dyDescent="0.25">
      <c r="A1155" s="759" t="s">
        <v>15</v>
      </c>
      <c r="B1155" s="608" t="s">
        <v>109</v>
      </c>
      <c r="C1155" s="445" t="s">
        <v>397</v>
      </c>
      <c r="D1155" s="757" t="s">
        <v>111</v>
      </c>
      <c r="E1155" s="649">
        <v>0.2</v>
      </c>
      <c r="F1155" s="797">
        <v>0.2</v>
      </c>
      <c r="G1155" s="796"/>
    </row>
    <row r="1156" spans="1:7" x14ac:dyDescent="0.25">
      <c r="A1156" s="659" t="s">
        <v>21</v>
      </c>
      <c r="B1156" s="645" t="s">
        <v>112</v>
      </c>
      <c r="C1156" s="445" t="s">
        <v>397</v>
      </c>
      <c r="D1156" s="646" t="s">
        <v>424</v>
      </c>
      <c r="E1156" s="649">
        <f>ROUND(51.85*E1157/100,2)+ROUND(1.017*E1158,2)+ROUND(0.034*E1159,2)</f>
        <v>6.1499999999999995</v>
      </c>
      <c r="F1156" s="797">
        <v>6.03</v>
      </c>
      <c r="G1156" s="796"/>
    </row>
    <row r="1157" spans="1:7" x14ac:dyDescent="0.25">
      <c r="A1157" s="386" t="s">
        <v>60</v>
      </c>
      <c r="B1157" s="389" t="s">
        <v>113</v>
      </c>
      <c r="C1157" s="650" t="s">
        <v>292</v>
      </c>
      <c r="D1157" s="387"/>
      <c r="E1157" s="710">
        <f>'Silumos kaina'!$E$2801</f>
        <v>6.07</v>
      </c>
      <c r="F1157" s="797">
        <v>5.85</v>
      </c>
      <c r="G1157" s="796"/>
    </row>
    <row r="1158" spans="1:7" x14ac:dyDescent="0.25">
      <c r="A1158" s="300" t="s">
        <v>72</v>
      </c>
      <c r="B1158" s="65" t="s">
        <v>114</v>
      </c>
      <c r="C1158" s="144" t="s">
        <v>398</v>
      </c>
      <c r="D1158" s="144" t="s">
        <v>414</v>
      </c>
      <c r="E1158" s="652">
        <v>2.82</v>
      </c>
      <c r="F1158" s="797">
        <v>2.82</v>
      </c>
      <c r="G1158" s="796"/>
    </row>
    <row r="1159" spans="1:7" x14ac:dyDescent="0.25">
      <c r="A1159" s="392" t="s">
        <v>115</v>
      </c>
      <c r="B1159" s="388" t="s">
        <v>116</v>
      </c>
      <c r="C1159" s="144" t="s">
        <v>398</v>
      </c>
      <c r="D1159" s="402" t="s">
        <v>188</v>
      </c>
      <c r="E1159" s="653">
        <v>3.78</v>
      </c>
      <c r="F1159" s="797">
        <v>3.78</v>
      </c>
      <c r="G1159" s="796"/>
    </row>
    <row r="1160" spans="1:7" x14ac:dyDescent="0.25">
      <c r="A1160" s="755" t="s">
        <v>84</v>
      </c>
      <c r="B1160" s="756" t="s">
        <v>117</v>
      </c>
      <c r="C1160" s="144" t="s">
        <v>398</v>
      </c>
      <c r="D1160" s="757" t="s">
        <v>121</v>
      </c>
      <c r="E1160" s="654">
        <f>E1155+E1156</f>
        <v>6.35</v>
      </c>
      <c r="F1160" s="797">
        <v>6.23</v>
      </c>
      <c r="G1160" s="796">
        <f>SUM(E1160-F1160)</f>
        <v>0.11999999999999922</v>
      </c>
    </row>
    <row r="1161" spans="1:7" x14ac:dyDescent="0.25">
      <c r="A1161" s="755" t="s">
        <v>85</v>
      </c>
      <c r="B1161" s="758" t="s">
        <v>446</v>
      </c>
      <c r="C1161" s="144" t="s">
        <v>398</v>
      </c>
      <c r="D1161" s="65"/>
      <c r="E1161" s="682">
        <f>E1160*1.09</f>
        <v>6.9215</v>
      </c>
      <c r="F1161" s="797">
        <v>6.79</v>
      </c>
      <c r="G1161" s="796">
        <f>SUM(E1161-F1161)</f>
        <v>0.13149999999999995</v>
      </c>
    </row>
    <row r="1162" spans="1:7" x14ac:dyDescent="0.25">
      <c r="A1162" s="755" t="s">
        <v>87</v>
      </c>
      <c r="B1162" s="758" t="s">
        <v>119</v>
      </c>
      <c r="C1162" s="144" t="s">
        <v>398</v>
      </c>
      <c r="D1162" s="389"/>
      <c r="E1162" s="711">
        <v>6.23</v>
      </c>
      <c r="F1162" s="797">
        <v>7.63</v>
      </c>
      <c r="G1162" s="796"/>
    </row>
    <row r="1163" spans="1:7" x14ac:dyDescent="0.25">
      <c r="A1163" s="256" t="s">
        <v>89</v>
      </c>
      <c r="B1163" s="65" t="s">
        <v>120</v>
      </c>
      <c r="C1163" s="76" t="s">
        <v>95</v>
      </c>
      <c r="D1163" s="65"/>
      <c r="E1163" s="655">
        <f>(E1160/E1162)*100-100</f>
        <v>1.9261637239165168</v>
      </c>
      <c r="F1163" s="797">
        <v>-18.350000000000001</v>
      </c>
      <c r="G1163" s="796"/>
    </row>
    <row r="1164" spans="1:7" x14ac:dyDescent="0.25">
      <c r="A1164" s="302" t="s">
        <v>252</v>
      </c>
      <c r="B1164" s="873" t="s">
        <v>249</v>
      </c>
      <c r="C1164" s="874"/>
      <c r="D1164" s="875"/>
      <c r="E1164" s="876"/>
      <c r="F1164" s="797"/>
      <c r="G1164" s="796"/>
    </row>
    <row r="1165" spans="1:7" x14ac:dyDescent="0.25">
      <c r="A1165" s="759" t="s">
        <v>15</v>
      </c>
      <c r="B1165" s="608" t="s">
        <v>109</v>
      </c>
      <c r="C1165" s="445" t="s">
        <v>323</v>
      </c>
      <c r="D1165" s="757" t="s">
        <v>111</v>
      </c>
      <c r="E1165" s="669">
        <v>0.2</v>
      </c>
      <c r="F1165" s="797">
        <v>0.2</v>
      </c>
      <c r="G1165" s="796"/>
    </row>
    <row r="1166" spans="1:7" x14ac:dyDescent="0.25">
      <c r="A1166" s="759" t="s">
        <v>21</v>
      </c>
      <c r="B1166" s="761" t="s">
        <v>112</v>
      </c>
      <c r="C1166" s="445" t="s">
        <v>323</v>
      </c>
      <c r="D1166" s="757" t="s">
        <v>425</v>
      </c>
      <c r="E1166" s="649">
        <f>51*E1157/100+1*E1158+0.034*E1159</f>
        <v>6.0442199999999993</v>
      </c>
      <c r="F1166" s="797">
        <v>5.93</v>
      </c>
      <c r="G1166" s="796"/>
    </row>
    <row r="1167" spans="1:7" x14ac:dyDescent="0.25">
      <c r="A1167" s="755" t="s">
        <v>60</v>
      </c>
      <c r="B1167" s="756" t="s">
        <v>117</v>
      </c>
      <c r="C1167" s="445" t="s">
        <v>323</v>
      </c>
      <c r="D1167" s="757" t="s">
        <v>121</v>
      </c>
      <c r="E1167" s="654">
        <f>ROUND(E1165+E1166,2)</f>
        <v>6.24</v>
      </c>
      <c r="F1167" s="797">
        <v>6.13</v>
      </c>
      <c r="G1167" s="796"/>
    </row>
    <row r="1168" spans="1:7" ht="15.75" thickBot="1" x14ac:dyDescent="0.3">
      <c r="A1168" s="683" t="s">
        <v>72</v>
      </c>
      <c r="B1168" s="684" t="s">
        <v>118</v>
      </c>
      <c r="C1168" s="685" t="s">
        <v>323</v>
      </c>
      <c r="D1168" s="686"/>
      <c r="E1168" s="687">
        <f>E1167*1.21</f>
        <v>7.5503999999999998</v>
      </c>
      <c r="F1168" s="797">
        <v>7.42</v>
      </c>
      <c r="G1168" s="796"/>
    </row>
    <row r="1169" spans="1:5" x14ac:dyDescent="0.25">
      <c r="A1169" s="877"/>
      <c r="B1169" s="877"/>
      <c r="C1169" s="877"/>
      <c r="D1169" s="877"/>
      <c r="E1169" s="877"/>
    </row>
    <row r="1170" spans="1:5" x14ac:dyDescent="0.25">
      <c r="A1170" s="413"/>
      <c r="B1170" s="414"/>
      <c r="C1170" s="415"/>
      <c r="D1170" s="416"/>
      <c r="E1170" s="417"/>
    </row>
    <row r="1171" spans="1:5" x14ac:dyDescent="0.25">
      <c r="B1171" t="s">
        <v>189</v>
      </c>
      <c r="C1171" t="s">
        <v>193</v>
      </c>
      <c r="D1171" s="146" t="s">
        <v>190</v>
      </c>
    </row>
  </sheetData>
  <mergeCells count="290">
    <mergeCell ref="D971:E971"/>
    <mergeCell ref="D972:E972"/>
    <mergeCell ref="A989:E989"/>
    <mergeCell ref="B991:E991"/>
    <mergeCell ref="B1001:E1001"/>
    <mergeCell ref="A1006:E1006"/>
    <mergeCell ref="D1050:E1050"/>
    <mergeCell ref="D1051:E1051"/>
    <mergeCell ref="A1068:E1068"/>
    <mergeCell ref="D1010:E1010"/>
    <mergeCell ref="D1011:E1011"/>
    <mergeCell ref="A1028:E1028"/>
    <mergeCell ref="B1030:E1030"/>
    <mergeCell ref="B1040:E1040"/>
    <mergeCell ref="A1045:E1045"/>
    <mergeCell ref="A799:A800"/>
    <mergeCell ref="B799:B800"/>
    <mergeCell ref="D805:E805"/>
    <mergeCell ref="D806:E806"/>
    <mergeCell ref="A823:E823"/>
    <mergeCell ref="A789:A790"/>
    <mergeCell ref="B789:B790"/>
    <mergeCell ref="A791:A792"/>
    <mergeCell ref="B791:B792"/>
    <mergeCell ref="B794:E794"/>
    <mergeCell ref="A797:A798"/>
    <mergeCell ref="B797:B798"/>
    <mergeCell ref="D797:D798"/>
    <mergeCell ref="D761:E761"/>
    <mergeCell ref="D762:E762"/>
    <mergeCell ref="A779:E779"/>
    <mergeCell ref="B781:E781"/>
    <mergeCell ref="A787:A788"/>
    <mergeCell ref="B787:B788"/>
    <mergeCell ref="D787:D788"/>
    <mergeCell ref="A626:A627"/>
    <mergeCell ref="B626:B627"/>
    <mergeCell ref="D626:D627"/>
    <mergeCell ref="A628:A629"/>
    <mergeCell ref="B628:B629"/>
    <mergeCell ref="A656:A657"/>
    <mergeCell ref="B656:B657"/>
    <mergeCell ref="D656:D657"/>
    <mergeCell ref="A658:A659"/>
    <mergeCell ref="B658:B659"/>
    <mergeCell ref="B663:E663"/>
    <mergeCell ref="A660:A661"/>
    <mergeCell ref="B660:B661"/>
    <mergeCell ref="B648:E648"/>
    <mergeCell ref="A649:A650"/>
    <mergeCell ref="B649:B650"/>
    <mergeCell ref="D649:D650"/>
    <mergeCell ref="A622:A623"/>
    <mergeCell ref="B622:B623"/>
    <mergeCell ref="D622:D623"/>
    <mergeCell ref="A624:A625"/>
    <mergeCell ref="B624:B625"/>
    <mergeCell ref="B607:E607"/>
    <mergeCell ref="A608:A609"/>
    <mergeCell ref="B608:B609"/>
    <mergeCell ref="D608:D609"/>
    <mergeCell ref="A610:A611"/>
    <mergeCell ref="B610:B611"/>
    <mergeCell ref="D610:D611"/>
    <mergeCell ref="D624:D625"/>
    <mergeCell ref="A615:A616"/>
    <mergeCell ref="B615:B616"/>
    <mergeCell ref="D615:D616"/>
    <mergeCell ref="A617:A618"/>
    <mergeCell ref="B617:B618"/>
    <mergeCell ref="B621:E621"/>
    <mergeCell ref="A506:A507"/>
    <mergeCell ref="B506:B507"/>
    <mergeCell ref="D506:D507"/>
    <mergeCell ref="A508:A509"/>
    <mergeCell ref="B508:B509"/>
    <mergeCell ref="A502:A503"/>
    <mergeCell ref="B502:B503"/>
    <mergeCell ref="D502:D503"/>
    <mergeCell ref="A504:A505"/>
    <mergeCell ref="B504:B505"/>
    <mergeCell ref="A490:A491"/>
    <mergeCell ref="B490:B491"/>
    <mergeCell ref="D490:D491"/>
    <mergeCell ref="D504:D505"/>
    <mergeCell ref="A495:A496"/>
    <mergeCell ref="B495:B496"/>
    <mergeCell ref="D495:D496"/>
    <mergeCell ref="A497:A498"/>
    <mergeCell ref="B497:B498"/>
    <mergeCell ref="B501:E501"/>
    <mergeCell ref="K20:L20"/>
    <mergeCell ref="B145:E145"/>
    <mergeCell ref="B155:E155"/>
    <mergeCell ref="B178:E178"/>
    <mergeCell ref="B188:E188"/>
    <mergeCell ref="B379:E379"/>
    <mergeCell ref="B211:E211"/>
    <mergeCell ref="B356:E356"/>
    <mergeCell ref="B221:E221"/>
    <mergeCell ref="B313:E313"/>
    <mergeCell ref="B346:E346"/>
    <mergeCell ref="B280:E280"/>
    <mergeCell ref="B290:E290"/>
    <mergeCell ref="B246:E246"/>
    <mergeCell ref="B456:B457"/>
    <mergeCell ref="A456:A457"/>
    <mergeCell ref="A454:A455"/>
    <mergeCell ref="B412:E412"/>
    <mergeCell ref="B256:E256"/>
    <mergeCell ref="B323:E323"/>
    <mergeCell ref="B389:E389"/>
    <mergeCell ref="B446:E446"/>
    <mergeCell ref="B422:E422"/>
    <mergeCell ref="D449:D450"/>
    <mergeCell ref="D447:D448"/>
    <mergeCell ref="D454:D455"/>
    <mergeCell ref="B461:B462"/>
    <mergeCell ref="B463:B464"/>
    <mergeCell ref="B465:B466"/>
    <mergeCell ref="A535:A536"/>
    <mergeCell ref="B535:B536"/>
    <mergeCell ref="D535:D536"/>
    <mergeCell ref="B467:B468"/>
    <mergeCell ref="A449:A450"/>
    <mergeCell ref="A447:A448"/>
    <mergeCell ref="A461:A462"/>
    <mergeCell ref="A463:A464"/>
    <mergeCell ref="A465:A466"/>
    <mergeCell ref="A467:A468"/>
    <mergeCell ref="B460:E460"/>
    <mergeCell ref="D461:D462"/>
    <mergeCell ref="D463:D464"/>
    <mergeCell ref="D465:D466"/>
    <mergeCell ref="B487:E487"/>
    <mergeCell ref="A488:A489"/>
    <mergeCell ref="B488:B489"/>
    <mergeCell ref="D488:D489"/>
    <mergeCell ref="B447:B448"/>
    <mergeCell ref="B449:B450"/>
    <mergeCell ref="B454:B455"/>
    <mergeCell ref="A537:A538"/>
    <mergeCell ref="B537:B538"/>
    <mergeCell ref="B541:E541"/>
    <mergeCell ref="B527:E527"/>
    <mergeCell ref="A528:A529"/>
    <mergeCell ref="B528:B529"/>
    <mergeCell ref="D528:D529"/>
    <mergeCell ref="A530:A531"/>
    <mergeCell ref="B530:B531"/>
    <mergeCell ref="D530:D531"/>
    <mergeCell ref="A546:A547"/>
    <mergeCell ref="B546:B547"/>
    <mergeCell ref="D546:D547"/>
    <mergeCell ref="A548:A549"/>
    <mergeCell ref="B548:B549"/>
    <mergeCell ref="A542:A543"/>
    <mergeCell ref="B542:B543"/>
    <mergeCell ref="D542:D543"/>
    <mergeCell ref="A544:A545"/>
    <mergeCell ref="B544:B545"/>
    <mergeCell ref="D544:D545"/>
    <mergeCell ref="A575:A576"/>
    <mergeCell ref="B575:B576"/>
    <mergeCell ref="D575:D576"/>
    <mergeCell ref="A577:A578"/>
    <mergeCell ref="B577:B578"/>
    <mergeCell ref="B581:E581"/>
    <mergeCell ref="B567:E567"/>
    <mergeCell ref="A568:A569"/>
    <mergeCell ref="B568:B569"/>
    <mergeCell ref="D568:D569"/>
    <mergeCell ref="A570:A571"/>
    <mergeCell ref="B570:B571"/>
    <mergeCell ref="D570:D571"/>
    <mergeCell ref="A586:A587"/>
    <mergeCell ref="B586:B587"/>
    <mergeCell ref="D586:D587"/>
    <mergeCell ref="A588:A589"/>
    <mergeCell ref="B588:B589"/>
    <mergeCell ref="A582:A583"/>
    <mergeCell ref="B582:B583"/>
    <mergeCell ref="D582:D583"/>
    <mergeCell ref="A584:A585"/>
    <mergeCell ref="B584:B585"/>
    <mergeCell ref="D584:D585"/>
    <mergeCell ref="A651:A652"/>
    <mergeCell ref="B651:B652"/>
    <mergeCell ref="D651:D652"/>
    <mergeCell ref="A668:A669"/>
    <mergeCell ref="B668:B669"/>
    <mergeCell ref="D668:D669"/>
    <mergeCell ref="A670:A671"/>
    <mergeCell ref="B670:B671"/>
    <mergeCell ref="A664:A665"/>
    <mergeCell ref="B664:B665"/>
    <mergeCell ref="D664:D665"/>
    <mergeCell ref="A666:A667"/>
    <mergeCell ref="B666:B667"/>
    <mergeCell ref="D666:D667"/>
    <mergeCell ref="A697:A698"/>
    <mergeCell ref="B697:B698"/>
    <mergeCell ref="D697:D698"/>
    <mergeCell ref="A699:A700"/>
    <mergeCell ref="B699:B700"/>
    <mergeCell ref="A701:A702"/>
    <mergeCell ref="B701:B702"/>
    <mergeCell ref="B689:E689"/>
    <mergeCell ref="A690:A691"/>
    <mergeCell ref="B690:B691"/>
    <mergeCell ref="D690:D691"/>
    <mergeCell ref="A692:A693"/>
    <mergeCell ref="B692:B693"/>
    <mergeCell ref="D692:D693"/>
    <mergeCell ref="A709:A710"/>
    <mergeCell ref="B709:B710"/>
    <mergeCell ref="D709:D710"/>
    <mergeCell ref="A711:A712"/>
    <mergeCell ref="B711:B712"/>
    <mergeCell ref="B704:E704"/>
    <mergeCell ref="A705:A706"/>
    <mergeCell ref="B705:B706"/>
    <mergeCell ref="D705:D706"/>
    <mergeCell ref="A707:A708"/>
    <mergeCell ref="B707:B708"/>
    <mergeCell ref="D707:D708"/>
    <mergeCell ref="A753:A754"/>
    <mergeCell ref="B753:B754"/>
    <mergeCell ref="D753:D754"/>
    <mergeCell ref="A755:A756"/>
    <mergeCell ref="B755:B756"/>
    <mergeCell ref="D717:E717"/>
    <mergeCell ref="D718:E718"/>
    <mergeCell ref="B750:E750"/>
    <mergeCell ref="A735:E735"/>
    <mergeCell ref="A743:A744"/>
    <mergeCell ref="B743:B744"/>
    <mergeCell ref="D743:D744"/>
    <mergeCell ref="A745:A746"/>
    <mergeCell ref="B745:B746"/>
    <mergeCell ref="A747:A748"/>
    <mergeCell ref="B747:B748"/>
    <mergeCell ref="B737:E737"/>
    <mergeCell ref="B825:E825"/>
    <mergeCell ref="A831:A832"/>
    <mergeCell ref="B831:B832"/>
    <mergeCell ref="D831:D832"/>
    <mergeCell ref="D891:E891"/>
    <mergeCell ref="D892:E892"/>
    <mergeCell ref="A843:A844"/>
    <mergeCell ref="B843:B844"/>
    <mergeCell ref="A833:A834"/>
    <mergeCell ref="B833:B834"/>
    <mergeCell ref="A835:A836"/>
    <mergeCell ref="B835:B836"/>
    <mergeCell ref="B838:E838"/>
    <mergeCell ref="A841:A842"/>
    <mergeCell ref="B841:B842"/>
    <mergeCell ref="D841:D842"/>
    <mergeCell ref="A884:E884"/>
    <mergeCell ref="B879:E879"/>
    <mergeCell ref="D849:E849"/>
    <mergeCell ref="D850:E850"/>
    <mergeCell ref="A867:E867"/>
    <mergeCell ref="B869:E869"/>
    <mergeCell ref="D931:E931"/>
    <mergeCell ref="D932:E932"/>
    <mergeCell ref="A949:E949"/>
    <mergeCell ref="B951:E951"/>
    <mergeCell ref="B961:E961"/>
    <mergeCell ref="A966:E966"/>
    <mergeCell ref="A909:E909"/>
    <mergeCell ref="B911:E911"/>
    <mergeCell ref="B921:E921"/>
    <mergeCell ref="A926:E926"/>
    <mergeCell ref="B1070:E1070"/>
    <mergeCell ref="B1080:E1080"/>
    <mergeCell ref="A1085:E1085"/>
    <mergeCell ref="D1134:E1134"/>
    <mergeCell ref="D1135:E1135"/>
    <mergeCell ref="A1152:E1152"/>
    <mergeCell ref="B1154:E1154"/>
    <mergeCell ref="B1164:E1164"/>
    <mergeCell ref="A1169:E1169"/>
    <mergeCell ref="D1091:E1091"/>
    <mergeCell ref="D1092:E1092"/>
    <mergeCell ref="A1109:E1109"/>
    <mergeCell ref="B1111:E1111"/>
    <mergeCell ref="B1121:E1121"/>
    <mergeCell ref="A1126:E1126"/>
  </mergeCells>
  <pageMargins left="0.7" right="0.7" top="0.75" bottom="0.75" header="0.3" footer="0.3"/>
  <pageSetup paperSize="9" scale="77"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6"/>
  <sheetViews>
    <sheetView topLeftCell="A215" workbookViewId="0">
      <selection activeCell="A250" sqref="A250"/>
    </sheetView>
  </sheetViews>
  <sheetFormatPr defaultRowHeight="15" x14ac:dyDescent="0.25"/>
  <cols>
    <col min="2" max="2" width="29.85546875" customWidth="1"/>
    <col min="3" max="3" width="15.85546875" customWidth="1"/>
    <col min="4" max="4" width="22.7109375" customWidth="1"/>
  </cols>
  <sheetData>
    <row r="1" spans="1:35" x14ac:dyDescent="0.25">
      <c r="A1" s="911" t="s">
        <v>223</v>
      </c>
      <c r="B1" s="911"/>
      <c r="C1" s="911"/>
      <c r="D1" s="911"/>
      <c r="E1" s="911"/>
    </row>
    <row r="2" spans="1:35" x14ac:dyDescent="0.25">
      <c r="A2" s="912" t="s">
        <v>224</v>
      </c>
      <c r="B2" s="912"/>
      <c r="C2" s="912"/>
      <c r="D2" s="912"/>
      <c r="E2" s="912"/>
    </row>
    <row r="3" spans="1:35" x14ac:dyDescent="0.25">
      <c r="A3" s="154"/>
      <c r="B3" s="154"/>
      <c r="C3" s="154"/>
      <c r="D3" s="154"/>
      <c r="E3" s="154"/>
    </row>
    <row r="4" spans="1:35" ht="15.75" x14ac:dyDescent="0.25">
      <c r="B4" s="910" t="s">
        <v>225</v>
      </c>
      <c r="C4" s="910"/>
      <c r="D4" s="910"/>
      <c r="E4" s="910"/>
    </row>
    <row r="5" spans="1:35" x14ac:dyDescent="0.25">
      <c r="A5" s="77"/>
      <c r="B5" s="78"/>
      <c r="C5" s="79" t="s">
        <v>122</v>
      </c>
      <c r="D5" s="79" t="s">
        <v>123</v>
      </c>
    </row>
    <row r="6" spans="1:35" x14ac:dyDescent="0.25">
      <c r="A6" s="80" t="s">
        <v>24</v>
      </c>
      <c r="B6" s="81"/>
      <c r="C6" s="82"/>
      <c r="D6" s="83"/>
    </row>
    <row r="7" spans="1:35" x14ac:dyDescent="0.25">
      <c r="A7" s="84" t="s">
        <v>124</v>
      </c>
      <c r="B7" s="81"/>
      <c r="C7" s="85" t="s">
        <v>125</v>
      </c>
      <c r="D7" s="86">
        <v>103</v>
      </c>
    </row>
    <row r="8" spans="1:35" x14ac:dyDescent="0.25">
      <c r="A8" s="87" t="s">
        <v>126</v>
      </c>
      <c r="B8" s="81"/>
      <c r="C8" s="85" t="s">
        <v>127</v>
      </c>
      <c r="D8" s="88">
        <v>8064</v>
      </c>
    </row>
    <row r="9" spans="1:35" x14ac:dyDescent="0.25">
      <c r="A9" s="87" t="s">
        <v>128</v>
      </c>
      <c r="B9" s="81"/>
      <c r="C9" s="85" t="s">
        <v>129</v>
      </c>
      <c r="D9" s="86">
        <v>131.67626000000001</v>
      </c>
    </row>
    <row r="10" spans="1:35" x14ac:dyDescent="0.25">
      <c r="A10" s="87" t="s">
        <v>130</v>
      </c>
      <c r="B10" s="81"/>
      <c r="C10" s="85" t="s">
        <v>129</v>
      </c>
      <c r="D10" s="86">
        <v>3.8655900000000001</v>
      </c>
    </row>
    <row r="11" spans="1:35" x14ac:dyDescent="0.25">
      <c r="A11" s="89" t="s">
        <v>131</v>
      </c>
      <c r="B11" s="90"/>
      <c r="C11" s="91" t="s">
        <v>132</v>
      </c>
      <c r="D11" s="92">
        <f>D12+D14+D13</f>
        <v>1590.960291262136</v>
      </c>
    </row>
    <row r="12" spans="1:35" x14ac:dyDescent="0.25">
      <c r="A12" s="87" t="s">
        <v>133</v>
      </c>
      <c r="B12" s="93"/>
      <c r="C12" s="85" t="s">
        <v>134</v>
      </c>
      <c r="D12" s="94">
        <f>D9/D7*1000</f>
        <v>1278.4102912621361</v>
      </c>
    </row>
    <row r="13" spans="1:35" x14ac:dyDescent="0.25">
      <c r="A13" s="95" t="s">
        <v>135</v>
      </c>
      <c r="B13" s="96"/>
      <c r="C13" s="85" t="s">
        <v>134</v>
      </c>
      <c r="D13" s="94">
        <f>D10/D7*1000</f>
        <v>37.53</v>
      </c>
    </row>
    <row r="14" spans="1:35" x14ac:dyDescent="0.25">
      <c r="A14" s="95" t="s">
        <v>136</v>
      </c>
      <c r="B14" s="97"/>
      <c r="C14" s="79" t="s">
        <v>134</v>
      </c>
      <c r="D14" s="98">
        <v>275.02</v>
      </c>
    </row>
    <row r="15" spans="1:35" s="227" customFormat="1" x14ac:dyDescent="0.25">
      <c r="A15" s="80" t="s">
        <v>216</v>
      </c>
      <c r="B15" s="99"/>
      <c r="C15" s="85"/>
      <c r="D15" s="100"/>
      <c r="E15"/>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row>
    <row r="16" spans="1:35" x14ac:dyDescent="0.25">
      <c r="A16" s="84" t="s">
        <v>226</v>
      </c>
      <c r="B16" s="99"/>
      <c r="C16" s="85" t="s">
        <v>221</v>
      </c>
      <c r="D16" s="101"/>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row>
    <row r="17" spans="1:35" x14ac:dyDescent="0.25">
      <c r="A17" s="87" t="s">
        <v>126</v>
      </c>
      <c r="B17" s="102"/>
      <c r="C17" s="85" t="s">
        <v>138</v>
      </c>
      <c r="D17" s="103"/>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row>
    <row r="18" spans="1:35" x14ac:dyDescent="0.25">
      <c r="A18" s="87" t="s">
        <v>139</v>
      </c>
      <c r="B18" s="99"/>
      <c r="C18" s="85" t="s">
        <v>140</v>
      </c>
      <c r="D18" s="101">
        <f>D16*0.75*D17/10000</f>
        <v>0</v>
      </c>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row>
    <row r="19" spans="1:35" x14ac:dyDescent="0.25">
      <c r="A19" s="87" t="s">
        <v>227</v>
      </c>
      <c r="B19" s="99"/>
      <c r="C19" s="85" t="s">
        <v>129</v>
      </c>
      <c r="D19" s="101"/>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row>
    <row r="20" spans="1:35" x14ac:dyDescent="0.25">
      <c r="A20" s="104" t="s">
        <v>228</v>
      </c>
      <c r="B20" s="93"/>
      <c r="C20" s="82" t="s">
        <v>142</v>
      </c>
      <c r="D20" s="105"/>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row>
    <row r="21" spans="1:35" x14ac:dyDescent="0.25">
      <c r="A21" s="80" t="s">
        <v>144</v>
      </c>
      <c r="B21" s="81"/>
      <c r="C21" s="106"/>
      <c r="D21" s="107"/>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row>
    <row r="22" spans="1:35" x14ac:dyDescent="0.25">
      <c r="A22" s="84" t="s">
        <v>145</v>
      </c>
      <c r="B22" s="99"/>
      <c r="C22" s="85" t="s">
        <v>143</v>
      </c>
      <c r="D22" s="101">
        <v>212.52</v>
      </c>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row>
    <row r="23" spans="1:35" x14ac:dyDescent="0.25">
      <c r="A23" s="84" t="s">
        <v>219</v>
      </c>
      <c r="B23" s="99"/>
      <c r="C23" s="85" t="s">
        <v>220</v>
      </c>
      <c r="D23" s="101">
        <v>820</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row>
    <row r="24" spans="1:35" x14ac:dyDescent="0.25">
      <c r="A24" s="84" t="s">
        <v>162</v>
      </c>
      <c r="B24" s="99"/>
      <c r="C24" s="85" t="s">
        <v>221</v>
      </c>
      <c r="D24" s="101">
        <f>D22*D23/1000</f>
        <v>174.2664</v>
      </c>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row>
    <row r="25" spans="1:35" s="223" customFormat="1" x14ac:dyDescent="0.25">
      <c r="A25" s="87" t="s">
        <v>126</v>
      </c>
      <c r="B25" s="99"/>
      <c r="C25" s="85" t="s">
        <v>138</v>
      </c>
      <c r="D25" s="108">
        <v>3027</v>
      </c>
      <c r="E25"/>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row>
    <row r="26" spans="1:35" x14ac:dyDescent="0.25">
      <c r="A26" s="219" t="s">
        <v>139</v>
      </c>
      <c r="B26" s="220"/>
      <c r="C26" s="221" t="s">
        <v>140</v>
      </c>
      <c r="D26" s="222">
        <f>D24*D25/10000</f>
        <v>52.750439280000002</v>
      </c>
      <c r="E26" s="223"/>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row>
    <row r="27" spans="1:35" x14ac:dyDescent="0.25">
      <c r="A27" s="224" t="s">
        <v>146</v>
      </c>
      <c r="B27" s="225"/>
      <c r="C27" s="226" t="s">
        <v>129</v>
      </c>
      <c r="D27" s="228">
        <v>21.251999999999999</v>
      </c>
      <c r="E27" s="227"/>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row>
    <row r="28" spans="1:35" s="227" customFormat="1" x14ac:dyDescent="0.25">
      <c r="A28" s="87" t="s">
        <v>147</v>
      </c>
      <c r="B28" s="99"/>
      <c r="C28" s="85" t="s">
        <v>142</v>
      </c>
      <c r="D28" s="109">
        <f>D27/D26*1000+0.01</f>
        <v>402.88816158637303</v>
      </c>
      <c r="E28"/>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row>
    <row r="29" spans="1:35" x14ac:dyDescent="0.25">
      <c r="A29" s="87" t="s">
        <v>148</v>
      </c>
      <c r="B29" s="99"/>
      <c r="C29" s="85" t="s">
        <v>129</v>
      </c>
      <c r="D29" s="101">
        <v>0</v>
      </c>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row>
    <row r="30" spans="1:35" x14ac:dyDescent="0.25">
      <c r="A30" s="87" t="s">
        <v>149</v>
      </c>
      <c r="B30" s="99"/>
      <c r="C30" s="85" t="s">
        <v>129</v>
      </c>
      <c r="D30" s="101">
        <v>0</v>
      </c>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row>
    <row r="31" spans="1:35" x14ac:dyDescent="0.25">
      <c r="A31" s="104" t="s">
        <v>150</v>
      </c>
      <c r="B31" s="93"/>
      <c r="C31" s="82" t="s">
        <v>142</v>
      </c>
      <c r="D31" s="105">
        <f>(D27+D29+D30)/D26*1000+0.01</f>
        <v>402.88816158637303</v>
      </c>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row>
    <row r="32" spans="1:35" x14ac:dyDescent="0.25">
      <c r="A32" s="80" t="s">
        <v>151</v>
      </c>
      <c r="B32" s="93"/>
      <c r="C32" s="82"/>
      <c r="D32" s="110"/>
    </row>
    <row r="33" spans="1:5" x14ac:dyDescent="0.25">
      <c r="A33" s="84" t="s">
        <v>152</v>
      </c>
      <c r="B33" s="99"/>
      <c r="C33" s="85" t="s">
        <v>143</v>
      </c>
      <c r="D33" s="103">
        <v>165</v>
      </c>
    </row>
    <row r="34" spans="1:5" x14ac:dyDescent="0.25">
      <c r="A34" s="84" t="s">
        <v>219</v>
      </c>
      <c r="B34" s="99"/>
      <c r="C34" s="85" t="s">
        <v>220</v>
      </c>
      <c r="D34" s="101">
        <v>730</v>
      </c>
    </row>
    <row r="35" spans="1:5" x14ac:dyDescent="0.25">
      <c r="A35" s="84" t="s">
        <v>162</v>
      </c>
      <c r="B35" s="99"/>
      <c r="C35" s="85" t="s">
        <v>221</v>
      </c>
      <c r="D35" s="101">
        <f>D33*D34/1000</f>
        <v>120.45</v>
      </c>
    </row>
    <row r="36" spans="1:5" x14ac:dyDescent="0.25">
      <c r="A36" s="87" t="s">
        <v>126</v>
      </c>
      <c r="B36" s="99"/>
      <c r="C36" s="85" t="s">
        <v>138</v>
      </c>
      <c r="D36" s="108">
        <v>3293</v>
      </c>
    </row>
    <row r="37" spans="1:5" x14ac:dyDescent="0.25">
      <c r="A37" s="219" t="s">
        <v>139</v>
      </c>
      <c r="B37" s="220"/>
      <c r="C37" s="221" t="s">
        <v>140</v>
      </c>
      <c r="D37" s="222">
        <f>D35*D36/10000</f>
        <v>39.664185000000003</v>
      </c>
      <c r="E37" s="223"/>
    </row>
    <row r="38" spans="1:5" x14ac:dyDescent="0.25">
      <c r="A38" s="87" t="s">
        <v>153</v>
      </c>
      <c r="B38" s="99"/>
      <c r="C38" s="85" t="s">
        <v>129</v>
      </c>
      <c r="D38" s="101">
        <v>9.9</v>
      </c>
    </row>
    <row r="39" spans="1:5" x14ac:dyDescent="0.25">
      <c r="A39" s="87" t="s">
        <v>148</v>
      </c>
      <c r="B39" s="99"/>
      <c r="C39" s="85" t="s">
        <v>129</v>
      </c>
      <c r="D39" s="101">
        <v>2.31</v>
      </c>
    </row>
    <row r="40" spans="1:5" x14ac:dyDescent="0.25">
      <c r="A40" s="224" t="s">
        <v>222</v>
      </c>
      <c r="B40" s="225"/>
      <c r="C40" s="226" t="s">
        <v>129</v>
      </c>
      <c r="D40" s="228">
        <f>D38+D39</f>
        <v>12.21</v>
      </c>
      <c r="E40" s="227"/>
    </row>
    <row r="41" spans="1:5" x14ac:dyDescent="0.25">
      <c r="A41" s="87" t="s">
        <v>154</v>
      </c>
      <c r="B41" s="99"/>
      <c r="C41" s="85" t="s">
        <v>142</v>
      </c>
      <c r="D41" s="105">
        <f>D40/D37*1000</f>
        <v>307.83438510081572</v>
      </c>
    </row>
    <row r="42" spans="1:5" x14ac:dyDescent="0.25">
      <c r="A42" s="80" t="s">
        <v>155</v>
      </c>
      <c r="B42" s="99"/>
      <c r="C42" s="85"/>
      <c r="D42" s="109"/>
    </row>
    <row r="43" spans="1:5" x14ac:dyDescent="0.25">
      <c r="A43" s="84" t="s">
        <v>156</v>
      </c>
      <c r="B43" s="99"/>
      <c r="C43" s="85" t="s">
        <v>143</v>
      </c>
      <c r="D43" s="101"/>
    </row>
    <row r="44" spans="1:5" x14ac:dyDescent="0.25">
      <c r="A44" s="87" t="s">
        <v>126</v>
      </c>
      <c r="B44" s="99"/>
      <c r="C44" s="85" t="s">
        <v>138</v>
      </c>
      <c r="D44" s="108"/>
    </row>
    <row r="45" spans="1:5" x14ac:dyDescent="0.25">
      <c r="A45" s="87" t="s">
        <v>139</v>
      </c>
      <c r="B45" s="99"/>
      <c r="C45" s="85" t="s">
        <v>140</v>
      </c>
      <c r="D45" s="101"/>
    </row>
    <row r="46" spans="1:5" x14ac:dyDescent="0.25">
      <c r="A46" s="87" t="s">
        <v>157</v>
      </c>
      <c r="B46" s="99"/>
      <c r="C46" s="85" t="s">
        <v>129</v>
      </c>
      <c r="D46" s="101"/>
    </row>
    <row r="47" spans="1:5" x14ac:dyDescent="0.25">
      <c r="A47" s="87" t="s">
        <v>158</v>
      </c>
      <c r="B47" s="99"/>
      <c r="C47" s="85" t="s">
        <v>142</v>
      </c>
      <c r="D47" s="105"/>
    </row>
    <row r="48" spans="1:5" x14ac:dyDescent="0.25">
      <c r="A48" s="111" t="s">
        <v>159</v>
      </c>
      <c r="B48" s="112"/>
      <c r="C48" s="113" t="s">
        <v>142</v>
      </c>
      <c r="D48" s="114">
        <f>(D27+D40)/(D26+D37)*1000</f>
        <v>362.08554934569713</v>
      </c>
    </row>
    <row r="49" spans="1:5" x14ac:dyDescent="0.25">
      <c r="A49" s="111" t="s">
        <v>160</v>
      </c>
      <c r="B49" s="112"/>
      <c r="C49" s="113" t="s">
        <v>142</v>
      </c>
      <c r="D49" s="114"/>
    </row>
    <row r="50" spans="1:5" x14ac:dyDescent="0.25">
      <c r="A50" s="80" t="s">
        <v>161</v>
      </c>
      <c r="B50" s="81"/>
      <c r="C50" s="115"/>
      <c r="D50" s="116"/>
    </row>
    <row r="51" spans="1:5" x14ac:dyDescent="0.25">
      <c r="A51" s="87" t="s">
        <v>162</v>
      </c>
      <c r="B51" s="81"/>
      <c r="C51" s="85" t="s">
        <v>98</v>
      </c>
      <c r="D51" s="117"/>
    </row>
    <row r="52" spans="1:5" x14ac:dyDescent="0.25">
      <c r="A52" s="87" t="s">
        <v>163</v>
      </c>
      <c r="B52" s="81"/>
      <c r="C52" s="85" t="s">
        <v>129</v>
      </c>
      <c r="D52" s="117"/>
    </row>
    <row r="53" spans="1:5" x14ac:dyDescent="0.25">
      <c r="A53" s="118" t="s">
        <v>164</v>
      </c>
      <c r="B53" s="119"/>
      <c r="C53" s="120" t="s">
        <v>59</v>
      </c>
      <c r="D53" s="121" t="e">
        <f>D52/D51/10</f>
        <v>#DIV/0!</v>
      </c>
    </row>
    <row r="54" spans="1:5" x14ac:dyDescent="0.25">
      <c r="A54" s="84" t="s">
        <v>165</v>
      </c>
      <c r="B54" s="99"/>
      <c r="C54" s="85" t="s">
        <v>137</v>
      </c>
      <c r="D54" s="86"/>
    </row>
    <row r="55" spans="1:5" x14ac:dyDescent="0.25">
      <c r="A55" s="87" t="s">
        <v>126</v>
      </c>
      <c r="B55" s="99"/>
      <c r="C55" s="85" t="s">
        <v>138</v>
      </c>
      <c r="D55" s="116"/>
    </row>
    <row r="56" spans="1:5" x14ac:dyDescent="0.25">
      <c r="A56" s="87" t="s">
        <v>139</v>
      </c>
      <c r="B56" s="99"/>
      <c r="C56" s="85" t="s">
        <v>140</v>
      </c>
      <c r="D56" s="86">
        <f>D54*D55/10000</f>
        <v>0</v>
      </c>
    </row>
    <row r="57" spans="1:5" x14ac:dyDescent="0.25">
      <c r="A57" s="87" t="s">
        <v>141</v>
      </c>
      <c r="B57" s="99"/>
      <c r="C57" s="85" t="s">
        <v>129</v>
      </c>
      <c r="D57" s="86"/>
    </row>
    <row r="58" spans="1:5" x14ac:dyDescent="0.25">
      <c r="A58" s="87" t="s">
        <v>166</v>
      </c>
      <c r="B58" s="99"/>
      <c r="C58" s="85" t="s">
        <v>142</v>
      </c>
      <c r="D58" s="94" t="e">
        <f>D57/D56*1000</f>
        <v>#DIV/0!</v>
      </c>
    </row>
    <row r="60" spans="1:5" x14ac:dyDescent="0.25">
      <c r="A60" t="s">
        <v>189</v>
      </c>
      <c r="D60" s="184" t="s">
        <v>190</v>
      </c>
    </row>
    <row r="61" spans="1:5" x14ac:dyDescent="0.25">
      <c r="A61" s="911" t="s">
        <v>223</v>
      </c>
      <c r="B61" s="911"/>
      <c r="C61" s="911"/>
      <c r="D61" s="911"/>
      <c r="E61" s="911"/>
    </row>
    <row r="62" spans="1:5" x14ac:dyDescent="0.25">
      <c r="A62" s="912" t="s">
        <v>224</v>
      </c>
      <c r="B62" s="912"/>
      <c r="C62" s="912"/>
      <c r="D62" s="912"/>
      <c r="E62" s="912"/>
    </row>
    <row r="63" spans="1:5" x14ac:dyDescent="0.25">
      <c r="A63" s="230"/>
      <c r="B63" s="230"/>
      <c r="C63" s="230"/>
      <c r="D63" s="230"/>
      <c r="E63" s="230"/>
    </row>
    <row r="64" spans="1:5" ht="15.75" x14ac:dyDescent="0.25">
      <c r="B64" s="910" t="s">
        <v>229</v>
      </c>
      <c r="C64" s="910"/>
      <c r="D64" s="910"/>
      <c r="E64" s="910"/>
    </row>
    <row r="65" spans="1:4" x14ac:dyDescent="0.25">
      <c r="A65" s="77"/>
      <c r="B65" s="78"/>
      <c r="C65" s="79" t="s">
        <v>122</v>
      </c>
      <c r="D65" s="79" t="s">
        <v>123</v>
      </c>
    </row>
    <row r="66" spans="1:4" x14ac:dyDescent="0.25">
      <c r="A66" s="80" t="s">
        <v>24</v>
      </c>
      <c r="B66" s="81"/>
      <c r="C66" s="82"/>
      <c r="D66" s="83"/>
    </row>
    <row r="67" spans="1:4" x14ac:dyDescent="0.25">
      <c r="A67" s="84" t="s">
        <v>124</v>
      </c>
      <c r="B67" s="81"/>
      <c r="C67" s="85" t="s">
        <v>125</v>
      </c>
      <c r="D67" s="86">
        <v>108</v>
      </c>
    </row>
    <row r="68" spans="1:4" x14ac:dyDescent="0.25">
      <c r="A68" s="87" t="s">
        <v>126</v>
      </c>
      <c r="B68" s="81"/>
      <c r="C68" s="85" t="s">
        <v>127</v>
      </c>
      <c r="D68" s="88">
        <v>8065</v>
      </c>
    </row>
    <row r="69" spans="1:4" x14ac:dyDescent="0.25">
      <c r="A69" s="87" t="s">
        <v>128</v>
      </c>
      <c r="B69" s="81"/>
      <c r="C69" s="85" t="s">
        <v>129</v>
      </c>
      <c r="D69" s="86">
        <v>137.83623</v>
      </c>
    </row>
    <row r="70" spans="1:4" x14ac:dyDescent="0.25">
      <c r="A70" s="87" t="s">
        <v>130</v>
      </c>
      <c r="B70" s="81"/>
      <c r="C70" s="85" t="s">
        <v>129</v>
      </c>
      <c r="D70" s="86">
        <v>4.0532399999999997</v>
      </c>
    </row>
    <row r="71" spans="1:4" x14ac:dyDescent="0.25">
      <c r="A71" s="89" t="s">
        <v>131</v>
      </c>
      <c r="B71" s="90"/>
      <c r="C71" s="91" t="s">
        <v>132</v>
      </c>
      <c r="D71" s="92">
        <f>D72+D74+D73</f>
        <v>1588.8113888888888</v>
      </c>
    </row>
    <row r="72" spans="1:4" x14ac:dyDescent="0.25">
      <c r="A72" s="87" t="s">
        <v>133</v>
      </c>
      <c r="B72" s="93"/>
      <c r="C72" s="85" t="s">
        <v>134</v>
      </c>
      <c r="D72" s="94">
        <f>D69/D67*1000</f>
        <v>1276.2613888888889</v>
      </c>
    </row>
    <row r="73" spans="1:4" x14ac:dyDescent="0.25">
      <c r="A73" s="95" t="s">
        <v>135</v>
      </c>
      <c r="B73" s="96"/>
      <c r="C73" s="85" t="s">
        <v>134</v>
      </c>
      <c r="D73" s="94">
        <f>D70/D67*1000</f>
        <v>37.53</v>
      </c>
    </row>
    <row r="74" spans="1:4" x14ac:dyDescent="0.25">
      <c r="A74" s="95" t="s">
        <v>136</v>
      </c>
      <c r="B74" s="97"/>
      <c r="C74" s="79" t="s">
        <v>134</v>
      </c>
      <c r="D74" s="98">
        <v>275.02</v>
      </c>
    </row>
    <row r="75" spans="1:4" x14ac:dyDescent="0.25">
      <c r="A75" s="80" t="s">
        <v>216</v>
      </c>
      <c r="B75" s="99"/>
      <c r="C75" s="85"/>
      <c r="D75" s="100"/>
    </row>
    <row r="76" spans="1:4" x14ac:dyDescent="0.25">
      <c r="A76" s="84" t="s">
        <v>226</v>
      </c>
      <c r="B76" s="99"/>
      <c r="C76" s="85" t="s">
        <v>221</v>
      </c>
      <c r="D76" s="101"/>
    </row>
    <row r="77" spans="1:4" x14ac:dyDescent="0.25">
      <c r="A77" s="87" t="s">
        <v>126</v>
      </c>
      <c r="B77" s="102"/>
      <c r="C77" s="85" t="s">
        <v>138</v>
      </c>
      <c r="D77" s="103"/>
    </row>
    <row r="78" spans="1:4" x14ac:dyDescent="0.25">
      <c r="A78" s="87" t="s">
        <v>139</v>
      </c>
      <c r="B78" s="99"/>
      <c r="C78" s="85" t="s">
        <v>140</v>
      </c>
      <c r="D78" s="101">
        <f>D76*0.75*D77/10000</f>
        <v>0</v>
      </c>
    </row>
    <row r="79" spans="1:4" x14ac:dyDescent="0.25">
      <c r="A79" s="87" t="s">
        <v>227</v>
      </c>
      <c r="B79" s="99"/>
      <c r="C79" s="85" t="s">
        <v>129</v>
      </c>
      <c r="D79" s="101"/>
    </row>
    <row r="80" spans="1:4" x14ac:dyDescent="0.25">
      <c r="A80" s="104" t="s">
        <v>228</v>
      </c>
      <c r="B80" s="93"/>
      <c r="C80" s="82" t="s">
        <v>142</v>
      </c>
      <c r="D80" s="105"/>
    </row>
    <row r="81" spans="1:5" x14ac:dyDescent="0.25">
      <c r="A81" s="80" t="s">
        <v>144</v>
      </c>
      <c r="B81" s="81"/>
      <c r="C81" s="106"/>
      <c r="D81" s="107"/>
    </row>
    <row r="82" spans="1:5" x14ac:dyDescent="0.25">
      <c r="A82" s="84" t="s">
        <v>145</v>
      </c>
      <c r="B82" s="99"/>
      <c r="C82" s="85" t="s">
        <v>143</v>
      </c>
      <c r="D82" s="101">
        <f>151.8+23.76</f>
        <v>175.56</v>
      </c>
    </row>
    <row r="83" spans="1:5" x14ac:dyDescent="0.25">
      <c r="A83" s="84" t="s">
        <v>219</v>
      </c>
      <c r="B83" s="99"/>
      <c r="C83" s="85" t="s">
        <v>220</v>
      </c>
      <c r="D83" s="101">
        <v>820</v>
      </c>
    </row>
    <row r="84" spans="1:5" x14ac:dyDescent="0.25">
      <c r="A84" s="84" t="s">
        <v>162</v>
      </c>
      <c r="B84" s="99"/>
      <c r="C84" s="85" t="s">
        <v>221</v>
      </c>
      <c r="D84" s="101">
        <f>D82*D83/1000</f>
        <v>143.95920000000001</v>
      </c>
    </row>
    <row r="85" spans="1:5" x14ac:dyDescent="0.25">
      <c r="A85" s="87" t="s">
        <v>126</v>
      </c>
      <c r="B85" s="99"/>
      <c r="C85" s="85" t="s">
        <v>138</v>
      </c>
      <c r="D85" s="108">
        <v>3027</v>
      </c>
    </row>
    <row r="86" spans="1:5" x14ac:dyDescent="0.25">
      <c r="A86" s="219" t="s">
        <v>139</v>
      </c>
      <c r="B86" s="220"/>
      <c r="C86" s="221" t="s">
        <v>140</v>
      </c>
      <c r="D86" s="222">
        <f>D84*D85/10000</f>
        <v>43.576449840000002</v>
      </c>
      <c r="E86" s="223"/>
    </row>
    <row r="87" spans="1:5" x14ac:dyDescent="0.25">
      <c r="A87" s="224" t="s">
        <v>146</v>
      </c>
      <c r="B87" s="225"/>
      <c r="C87" s="226" t="s">
        <v>129</v>
      </c>
      <c r="D87" s="228">
        <f>15.18+0.216</f>
        <v>15.395999999999999</v>
      </c>
      <c r="E87" s="227"/>
    </row>
    <row r="88" spans="1:5" x14ac:dyDescent="0.25">
      <c r="A88" s="87" t="s">
        <v>147</v>
      </c>
      <c r="B88" s="99"/>
      <c r="C88" s="85" t="s">
        <v>142</v>
      </c>
      <c r="D88" s="109">
        <f>D87/D86*1000</f>
        <v>353.31010342810424</v>
      </c>
    </row>
    <row r="89" spans="1:5" x14ac:dyDescent="0.25">
      <c r="A89" s="87" t="s">
        <v>148</v>
      </c>
      <c r="B89" s="99"/>
      <c r="C89" s="85" t="s">
        <v>129</v>
      </c>
      <c r="D89" s="101">
        <v>0</v>
      </c>
    </row>
    <row r="90" spans="1:5" x14ac:dyDescent="0.25">
      <c r="A90" s="87" t="s">
        <v>149</v>
      </c>
      <c r="B90" s="99"/>
      <c r="C90" s="85" t="s">
        <v>129</v>
      </c>
      <c r="D90" s="101">
        <v>0</v>
      </c>
    </row>
    <row r="91" spans="1:5" x14ac:dyDescent="0.25">
      <c r="A91" s="104" t="s">
        <v>150</v>
      </c>
      <c r="B91" s="93"/>
      <c r="C91" s="82" t="s">
        <v>142</v>
      </c>
      <c r="D91" s="105">
        <f>(D87+D89+D90)/D86*1000</f>
        <v>353.31010342810424</v>
      </c>
    </row>
    <row r="92" spans="1:5" x14ac:dyDescent="0.25">
      <c r="A92" s="80" t="s">
        <v>151</v>
      </c>
      <c r="B92" s="93"/>
      <c r="C92" s="82"/>
      <c r="D92" s="110"/>
    </row>
    <row r="93" spans="1:5" x14ac:dyDescent="0.25">
      <c r="A93" s="84" t="s">
        <v>152</v>
      </c>
      <c r="B93" s="99"/>
      <c r="C93" s="85" t="s">
        <v>143</v>
      </c>
      <c r="D93" s="100">
        <v>164.83</v>
      </c>
    </row>
    <row r="94" spans="1:5" x14ac:dyDescent="0.25">
      <c r="A94" s="84" t="s">
        <v>219</v>
      </c>
      <c r="B94" s="99"/>
      <c r="C94" s="85" t="s">
        <v>220</v>
      </c>
      <c r="D94" s="103">
        <v>750</v>
      </c>
    </row>
    <row r="95" spans="1:5" x14ac:dyDescent="0.25">
      <c r="A95" s="84" t="s">
        <v>162</v>
      </c>
      <c r="B95" s="99"/>
      <c r="C95" s="85" t="s">
        <v>221</v>
      </c>
      <c r="D95" s="101">
        <f>D93*D94/1000</f>
        <v>123.62250000000002</v>
      </c>
    </row>
    <row r="96" spans="1:5" x14ac:dyDescent="0.25">
      <c r="A96" s="87" t="s">
        <v>126</v>
      </c>
      <c r="B96" s="99"/>
      <c r="C96" s="85" t="s">
        <v>138</v>
      </c>
      <c r="D96" s="108">
        <v>3293</v>
      </c>
    </row>
    <row r="97" spans="1:5" x14ac:dyDescent="0.25">
      <c r="A97" s="219" t="s">
        <v>139</v>
      </c>
      <c r="B97" s="220"/>
      <c r="C97" s="221" t="s">
        <v>140</v>
      </c>
      <c r="D97" s="222">
        <f>D95*D96/10000</f>
        <v>40.708889250000006</v>
      </c>
      <c r="E97" s="223"/>
    </row>
    <row r="98" spans="1:5" x14ac:dyDescent="0.25">
      <c r="A98" s="87" t="s">
        <v>153</v>
      </c>
      <c r="B98" s="99"/>
      <c r="C98" s="85" t="s">
        <v>129</v>
      </c>
      <c r="D98" s="101">
        <v>10.21946</v>
      </c>
    </row>
    <row r="99" spans="1:5" x14ac:dyDescent="0.25">
      <c r="A99" s="87" t="s">
        <v>148</v>
      </c>
      <c r="B99" s="99"/>
      <c r="C99" s="85" t="s">
        <v>129</v>
      </c>
      <c r="D99" s="101">
        <v>1.9779599999999999</v>
      </c>
    </row>
    <row r="100" spans="1:5" x14ac:dyDescent="0.25">
      <c r="A100" s="224" t="s">
        <v>222</v>
      </c>
      <c r="B100" s="225"/>
      <c r="C100" s="226" t="s">
        <v>129</v>
      </c>
      <c r="D100" s="228">
        <f>D98+D99</f>
        <v>12.197419999999999</v>
      </c>
      <c r="E100" s="227"/>
    </row>
    <row r="101" spans="1:5" x14ac:dyDescent="0.25">
      <c r="A101" s="87" t="s">
        <v>154</v>
      </c>
      <c r="B101" s="99"/>
      <c r="C101" s="85" t="s">
        <v>142</v>
      </c>
      <c r="D101" s="105">
        <f>D100/D97*1000</f>
        <v>299.62546816479397</v>
      </c>
    </row>
    <row r="102" spans="1:5" x14ac:dyDescent="0.25">
      <c r="A102" s="80" t="s">
        <v>155</v>
      </c>
      <c r="B102" s="99"/>
      <c r="C102" s="85"/>
      <c r="D102" s="109"/>
    </row>
    <row r="103" spans="1:5" x14ac:dyDescent="0.25">
      <c r="A103" s="84" t="s">
        <v>156</v>
      </c>
      <c r="B103" s="99"/>
      <c r="C103" s="85" t="s">
        <v>143</v>
      </c>
      <c r="D103" s="101"/>
    </row>
    <row r="104" spans="1:5" x14ac:dyDescent="0.25">
      <c r="A104" s="87" t="s">
        <v>126</v>
      </c>
      <c r="B104" s="99"/>
      <c r="C104" s="85" t="s">
        <v>138</v>
      </c>
      <c r="D104" s="108"/>
    </row>
    <row r="105" spans="1:5" x14ac:dyDescent="0.25">
      <c r="A105" s="87" t="s">
        <v>139</v>
      </c>
      <c r="B105" s="99"/>
      <c r="C105" s="85" t="s">
        <v>140</v>
      </c>
      <c r="D105" s="101"/>
    </row>
    <row r="106" spans="1:5" x14ac:dyDescent="0.25">
      <c r="A106" s="87" t="s">
        <v>157</v>
      </c>
      <c r="B106" s="99"/>
      <c r="C106" s="85" t="s">
        <v>129</v>
      </c>
      <c r="D106" s="101"/>
    </row>
    <row r="107" spans="1:5" x14ac:dyDescent="0.25">
      <c r="A107" s="87" t="s">
        <v>158</v>
      </c>
      <c r="B107" s="99"/>
      <c r="C107" s="85" t="s">
        <v>142</v>
      </c>
      <c r="D107" s="105"/>
    </row>
    <row r="108" spans="1:5" x14ac:dyDescent="0.25">
      <c r="A108" s="111" t="s">
        <v>159</v>
      </c>
      <c r="B108" s="112"/>
      <c r="C108" s="113" t="s">
        <v>142</v>
      </c>
      <c r="D108" s="114">
        <f>(D87+D100)/(D86+D97)*1000</f>
        <v>327.38101665030621</v>
      </c>
    </row>
    <row r="109" spans="1:5" x14ac:dyDescent="0.25">
      <c r="A109" s="111" t="s">
        <v>160</v>
      </c>
      <c r="B109" s="112"/>
      <c r="C109" s="113" t="s">
        <v>142</v>
      </c>
      <c r="D109" s="114"/>
    </row>
    <row r="110" spans="1:5" x14ac:dyDescent="0.25">
      <c r="A110" s="80" t="s">
        <v>161</v>
      </c>
      <c r="B110" s="81"/>
      <c r="C110" s="115"/>
      <c r="D110" s="116"/>
    </row>
    <row r="111" spans="1:5" x14ac:dyDescent="0.25">
      <c r="A111" s="87" t="s">
        <v>162</v>
      </c>
      <c r="B111" s="81"/>
      <c r="C111" s="85" t="s">
        <v>98</v>
      </c>
      <c r="D111" s="117"/>
    </row>
    <row r="112" spans="1:5" x14ac:dyDescent="0.25">
      <c r="A112" s="87" t="s">
        <v>163</v>
      </c>
      <c r="B112" s="81"/>
      <c r="C112" s="85" t="s">
        <v>129</v>
      </c>
      <c r="D112" s="117"/>
    </row>
    <row r="113" spans="1:5" x14ac:dyDescent="0.25">
      <c r="A113" s="118" t="s">
        <v>164</v>
      </c>
      <c r="B113" s="119"/>
      <c r="C113" s="120" t="s">
        <v>59</v>
      </c>
      <c r="D113" s="121" t="e">
        <f>D112/D111/10</f>
        <v>#DIV/0!</v>
      </c>
    </row>
    <row r="114" spans="1:5" x14ac:dyDescent="0.25">
      <c r="A114" s="84" t="s">
        <v>165</v>
      </c>
      <c r="B114" s="99"/>
      <c r="C114" s="85" t="s">
        <v>137</v>
      </c>
      <c r="D114" s="86"/>
    </row>
    <row r="115" spans="1:5" x14ac:dyDescent="0.25">
      <c r="A115" s="87" t="s">
        <v>126</v>
      </c>
      <c r="B115" s="99"/>
      <c r="C115" s="85" t="s">
        <v>138</v>
      </c>
      <c r="D115" s="116"/>
    </row>
    <row r="116" spans="1:5" x14ac:dyDescent="0.25">
      <c r="A116" s="87" t="s">
        <v>139</v>
      </c>
      <c r="B116" s="99"/>
      <c r="C116" s="85" t="s">
        <v>140</v>
      </c>
      <c r="D116" s="86">
        <f>D114*D115/10000</f>
        <v>0</v>
      </c>
    </row>
    <row r="117" spans="1:5" x14ac:dyDescent="0.25">
      <c r="A117" s="87" t="s">
        <v>141</v>
      </c>
      <c r="B117" s="99"/>
      <c r="C117" s="85" t="s">
        <v>129</v>
      </c>
      <c r="D117" s="86"/>
    </row>
    <row r="118" spans="1:5" x14ac:dyDescent="0.25">
      <c r="A118" s="87" t="s">
        <v>166</v>
      </c>
      <c r="B118" s="99"/>
      <c r="C118" s="85" t="s">
        <v>142</v>
      </c>
      <c r="D118" s="94" t="e">
        <f>D117/D116*1000</f>
        <v>#DIV/0!</v>
      </c>
    </row>
    <row r="120" spans="1:5" x14ac:dyDescent="0.25">
      <c r="A120" t="s">
        <v>189</v>
      </c>
      <c r="D120" s="184" t="s">
        <v>190</v>
      </c>
    </row>
    <row r="121" spans="1:5" x14ac:dyDescent="0.25">
      <c r="A121" s="911" t="s">
        <v>223</v>
      </c>
      <c r="B121" s="911"/>
      <c r="C121" s="911"/>
      <c r="D121" s="911"/>
      <c r="E121" s="911"/>
    </row>
    <row r="122" spans="1:5" x14ac:dyDescent="0.25">
      <c r="A122" s="912" t="s">
        <v>224</v>
      </c>
      <c r="B122" s="912"/>
      <c r="C122" s="912"/>
      <c r="D122" s="912"/>
      <c r="E122" s="912"/>
    </row>
    <row r="123" spans="1:5" x14ac:dyDescent="0.25">
      <c r="A123" s="234"/>
      <c r="B123" s="234"/>
      <c r="C123" s="234"/>
      <c r="D123" s="234"/>
      <c r="E123" s="234"/>
    </row>
    <row r="124" spans="1:5" ht="15.75" x14ac:dyDescent="0.25">
      <c r="B124" s="910" t="s">
        <v>234</v>
      </c>
      <c r="C124" s="910"/>
      <c r="D124" s="910"/>
      <c r="E124" s="910"/>
    </row>
    <row r="125" spans="1:5" x14ac:dyDescent="0.25">
      <c r="A125" s="77"/>
      <c r="B125" s="78"/>
      <c r="C125" s="79" t="s">
        <v>122</v>
      </c>
      <c r="D125" s="79" t="s">
        <v>123</v>
      </c>
    </row>
    <row r="126" spans="1:5" x14ac:dyDescent="0.25">
      <c r="A126" s="80" t="s">
        <v>24</v>
      </c>
      <c r="B126" s="81"/>
      <c r="C126" s="82"/>
      <c r="D126" s="83"/>
    </row>
    <row r="127" spans="1:5" x14ac:dyDescent="0.25">
      <c r="A127" s="84" t="s">
        <v>124</v>
      </c>
      <c r="B127" s="81"/>
      <c r="C127" s="85" t="s">
        <v>125</v>
      </c>
      <c r="D127" s="86">
        <v>108</v>
      </c>
    </row>
    <row r="128" spans="1:5" x14ac:dyDescent="0.25">
      <c r="A128" s="87" t="s">
        <v>126</v>
      </c>
      <c r="B128" s="81"/>
      <c r="C128" s="85" t="s">
        <v>127</v>
      </c>
      <c r="D128" s="88">
        <v>8094</v>
      </c>
    </row>
    <row r="129" spans="1:4" x14ac:dyDescent="0.25">
      <c r="A129" s="87" t="s">
        <v>128</v>
      </c>
      <c r="B129" s="81"/>
      <c r="C129" s="85" t="s">
        <v>129</v>
      </c>
      <c r="D129" s="86">
        <v>136.09761</v>
      </c>
    </row>
    <row r="130" spans="1:4" x14ac:dyDescent="0.25">
      <c r="A130" s="87" t="s">
        <v>130</v>
      </c>
      <c r="B130" s="81"/>
      <c r="C130" s="85" t="s">
        <v>129</v>
      </c>
      <c r="D130" s="86">
        <v>4.0532399999999997</v>
      </c>
    </row>
    <row r="131" spans="1:4" x14ac:dyDescent="0.25">
      <c r="A131" s="89" t="s">
        <v>131</v>
      </c>
      <c r="B131" s="90"/>
      <c r="C131" s="91" t="s">
        <v>132</v>
      </c>
      <c r="D131" s="92">
        <f>D132+D134+D133</f>
        <v>1572.7130555555557</v>
      </c>
    </row>
    <row r="132" spans="1:4" x14ac:dyDescent="0.25">
      <c r="A132" s="87" t="s">
        <v>133</v>
      </c>
      <c r="B132" s="93"/>
      <c r="C132" s="85" t="s">
        <v>134</v>
      </c>
      <c r="D132" s="94">
        <f>D129/D127*1000</f>
        <v>1260.1630555555557</v>
      </c>
    </row>
    <row r="133" spans="1:4" x14ac:dyDescent="0.25">
      <c r="A133" s="95" t="s">
        <v>135</v>
      </c>
      <c r="B133" s="96"/>
      <c r="C133" s="85" t="s">
        <v>134</v>
      </c>
      <c r="D133" s="94">
        <f>D130/D127*1000</f>
        <v>37.53</v>
      </c>
    </row>
    <row r="134" spans="1:4" x14ac:dyDescent="0.25">
      <c r="A134" s="95" t="s">
        <v>136</v>
      </c>
      <c r="B134" s="97"/>
      <c r="C134" s="79" t="s">
        <v>134</v>
      </c>
      <c r="D134" s="98">
        <v>275.02</v>
      </c>
    </row>
    <row r="135" spans="1:4" x14ac:dyDescent="0.25">
      <c r="A135" s="80" t="s">
        <v>216</v>
      </c>
      <c r="B135" s="99"/>
      <c r="C135" s="85"/>
      <c r="D135" s="100"/>
    </row>
    <row r="136" spans="1:4" x14ac:dyDescent="0.25">
      <c r="A136" s="84" t="s">
        <v>226</v>
      </c>
      <c r="B136" s="99"/>
      <c r="C136" s="85" t="s">
        <v>221</v>
      </c>
      <c r="D136" s="101"/>
    </row>
    <row r="137" spans="1:4" x14ac:dyDescent="0.25">
      <c r="A137" s="87" t="s">
        <v>126</v>
      </c>
      <c r="B137" s="102"/>
      <c r="C137" s="85" t="s">
        <v>138</v>
      </c>
      <c r="D137" s="103"/>
    </row>
    <row r="138" spans="1:4" x14ac:dyDescent="0.25">
      <c r="A138" s="87" t="s">
        <v>139</v>
      </c>
      <c r="B138" s="99"/>
      <c r="C138" s="85" t="s">
        <v>140</v>
      </c>
      <c r="D138" s="101">
        <f>D136*0.75*D137/10000</f>
        <v>0</v>
      </c>
    </row>
    <row r="139" spans="1:4" x14ac:dyDescent="0.25">
      <c r="A139" s="87" t="s">
        <v>227</v>
      </c>
      <c r="B139" s="99"/>
      <c r="C139" s="85" t="s">
        <v>129</v>
      </c>
      <c r="D139" s="101"/>
    </row>
    <row r="140" spans="1:4" x14ac:dyDescent="0.25">
      <c r="A140" s="104" t="s">
        <v>228</v>
      </c>
      <c r="B140" s="93"/>
      <c r="C140" s="82" t="s">
        <v>142</v>
      </c>
      <c r="D140" s="105"/>
    </row>
    <row r="141" spans="1:4" x14ac:dyDescent="0.25">
      <c r="A141" s="80" t="s">
        <v>144</v>
      </c>
      <c r="B141" s="81"/>
      <c r="C141" s="106"/>
      <c r="D141" s="107"/>
    </row>
    <row r="142" spans="1:4" x14ac:dyDescent="0.25">
      <c r="A142" s="84" t="s">
        <v>145</v>
      </c>
      <c r="B142" s="99"/>
      <c r="C142" s="85" t="s">
        <v>143</v>
      </c>
      <c r="D142" s="101">
        <v>212.52</v>
      </c>
    </row>
    <row r="143" spans="1:4" x14ac:dyDescent="0.25">
      <c r="A143" s="84" t="s">
        <v>219</v>
      </c>
      <c r="B143" s="99"/>
      <c r="C143" s="85" t="s">
        <v>220</v>
      </c>
      <c r="D143" s="101">
        <v>820</v>
      </c>
    </row>
    <row r="144" spans="1:4" x14ac:dyDescent="0.25">
      <c r="A144" s="84" t="s">
        <v>162</v>
      </c>
      <c r="B144" s="99"/>
      <c r="C144" s="85" t="s">
        <v>221</v>
      </c>
      <c r="D144" s="101">
        <f>D142*D143/1000</f>
        <v>174.2664</v>
      </c>
    </row>
    <row r="145" spans="1:5" x14ac:dyDescent="0.25">
      <c r="A145" s="87" t="s">
        <v>126</v>
      </c>
      <c r="B145" s="99"/>
      <c r="C145" s="85" t="s">
        <v>138</v>
      </c>
      <c r="D145" s="108">
        <v>3027</v>
      </c>
    </row>
    <row r="146" spans="1:5" x14ac:dyDescent="0.25">
      <c r="A146" s="219" t="s">
        <v>139</v>
      </c>
      <c r="B146" s="220"/>
      <c r="C146" s="221" t="s">
        <v>140</v>
      </c>
      <c r="D146" s="222">
        <f>D144*D145/10000</f>
        <v>52.750439280000002</v>
      </c>
      <c r="E146" s="223"/>
    </row>
    <row r="147" spans="1:5" x14ac:dyDescent="0.25">
      <c r="A147" s="224" t="s">
        <v>146</v>
      </c>
      <c r="B147" s="225"/>
      <c r="C147" s="226" t="s">
        <v>129</v>
      </c>
      <c r="D147" s="228">
        <v>21.251999999999999</v>
      </c>
      <c r="E147" s="227"/>
    </row>
    <row r="148" spans="1:5" x14ac:dyDescent="0.25">
      <c r="A148" s="87" t="s">
        <v>147</v>
      </c>
      <c r="B148" s="99"/>
      <c r="C148" s="85" t="s">
        <v>142</v>
      </c>
      <c r="D148" s="109">
        <f>D147/D146*1000</f>
        <v>402.87816158637304</v>
      </c>
    </row>
    <row r="149" spans="1:5" x14ac:dyDescent="0.25">
      <c r="A149" s="87" t="s">
        <v>148</v>
      </c>
      <c r="B149" s="99"/>
      <c r="C149" s="85" t="s">
        <v>129</v>
      </c>
      <c r="D149" s="101">
        <v>0</v>
      </c>
    </row>
    <row r="150" spans="1:5" x14ac:dyDescent="0.25">
      <c r="A150" s="87" t="s">
        <v>149</v>
      </c>
      <c r="B150" s="99"/>
      <c r="C150" s="85" t="s">
        <v>129</v>
      </c>
      <c r="D150" s="101">
        <v>0</v>
      </c>
    </row>
    <row r="151" spans="1:5" x14ac:dyDescent="0.25">
      <c r="A151" s="104" t="s">
        <v>150</v>
      </c>
      <c r="B151" s="93"/>
      <c r="C151" s="82" t="s">
        <v>142</v>
      </c>
      <c r="D151" s="105">
        <f>(D147+D149+D150)/D146*1000</f>
        <v>402.87816158637304</v>
      </c>
    </row>
    <row r="152" spans="1:5" x14ac:dyDescent="0.25">
      <c r="A152" s="80" t="s">
        <v>151</v>
      </c>
      <c r="B152" s="93"/>
      <c r="C152" s="82"/>
      <c r="D152" s="110"/>
    </row>
    <row r="153" spans="1:5" x14ac:dyDescent="0.25">
      <c r="A153" s="84" t="s">
        <v>152</v>
      </c>
      <c r="B153" s="99"/>
      <c r="C153" s="85" t="s">
        <v>143</v>
      </c>
      <c r="D153" s="100">
        <v>42.39</v>
      </c>
    </row>
    <row r="154" spans="1:5" x14ac:dyDescent="0.25">
      <c r="A154" s="84" t="s">
        <v>219</v>
      </c>
      <c r="B154" s="99"/>
      <c r="C154" s="85" t="s">
        <v>220</v>
      </c>
      <c r="D154" s="103">
        <v>750</v>
      </c>
    </row>
    <row r="155" spans="1:5" x14ac:dyDescent="0.25">
      <c r="A155" s="84" t="s">
        <v>162</v>
      </c>
      <c r="B155" s="99"/>
      <c r="C155" s="85" t="s">
        <v>221</v>
      </c>
      <c r="D155" s="101">
        <f>D153*D154/1000</f>
        <v>31.7925</v>
      </c>
    </row>
    <row r="156" spans="1:5" x14ac:dyDescent="0.25">
      <c r="A156" s="87" t="s">
        <v>126</v>
      </c>
      <c r="B156" s="99"/>
      <c r="C156" s="85" t="s">
        <v>138</v>
      </c>
      <c r="D156" s="108">
        <v>3293</v>
      </c>
    </row>
    <row r="157" spans="1:5" x14ac:dyDescent="0.25">
      <c r="A157" s="219" t="s">
        <v>139</v>
      </c>
      <c r="B157" s="220"/>
      <c r="C157" s="221" t="s">
        <v>140</v>
      </c>
      <c r="D157" s="222">
        <f>D155*D156/10000</f>
        <v>10.469270249999999</v>
      </c>
      <c r="E157" s="223"/>
    </row>
    <row r="158" spans="1:5" x14ac:dyDescent="0.25">
      <c r="A158" s="87" t="s">
        <v>153</v>
      </c>
      <c r="B158" s="99"/>
      <c r="C158" s="85" t="s">
        <v>129</v>
      </c>
      <c r="D158" s="101">
        <v>2.62818</v>
      </c>
    </row>
    <row r="159" spans="1:5" x14ac:dyDescent="0.25">
      <c r="A159" s="87" t="s">
        <v>148</v>
      </c>
      <c r="B159" s="99"/>
      <c r="C159" s="85" t="s">
        <v>129</v>
      </c>
      <c r="D159" s="101">
        <v>0.50868000000000002</v>
      </c>
    </row>
    <row r="160" spans="1:5" x14ac:dyDescent="0.25">
      <c r="A160" s="224" t="s">
        <v>222</v>
      </c>
      <c r="B160" s="225"/>
      <c r="C160" s="226" t="s">
        <v>129</v>
      </c>
      <c r="D160" s="228">
        <f>D158+D159</f>
        <v>3.13686</v>
      </c>
      <c r="E160" s="227"/>
    </row>
    <row r="161" spans="1:4" x14ac:dyDescent="0.25">
      <c r="A161" s="87" t="s">
        <v>154</v>
      </c>
      <c r="B161" s="99"/>
      <c r="C161" s="85" t="s">
        <v>142</v>
      </c>
      <c r="D161" s="105">
        <f>D160/D157*1000</f>
        <v>299.62546816479403</v>
      </c>
    </row>
    <row r="162" spans="1:4" x14ac:dyDescent="0.25">
      <c r="A162" s="80" t="s">
        <v>155</v>
      </c>
      <c r="B162" s="99"/>
      <c r="C162" s="85"/>
      <c r="D162" s="109"/>
    </row>
    <row r="163" spans="1:4" x14ac:dyDescent="0.25">
      <c r="A163" s="84" t="s">
        <v>156</v>
      </c>
      <c r="B163" s="99"/>
      <c r="C163" s="85" t="s">
        <v>143</v>
      </c>
      <c r="D163" s="101"/>
    </row>
    <row r="164" spans="1:4" x14ac:dyDescent="0.25">
      <c r="A164" s="87" t="s">
        <v>126</v>
      </c>
      <c r="B164" s="99"/>
      <c r="C164" s="85" t="s">
        <v>138</v>
      </c>
      <c r="D164" s="108"/>
    </row>
    <row r="165" spans="1:4" x14ac:dyDescent="0.25">
      <c r="A165" s="87" t="s">
        <v>139</v>
      </c>
      <c r="B165" s="99"/>
      <c r="C165" s="85" t="s">
        <v>140</v>
      </c>
      <c r="D165" s="101"/>
    </row>
    <row r="166" spans="1:4" x14ac:dyDescent="0.25">
      <c r="A166" s="87" t="s">
        <v>157</v>
      </c>
      <c r="B166" s="99"/>
      <c r="C166" s="85" t="s">
        <v>129</v>
      </c>
      <c r="D166" s="101"/>
    </row>
    <row r="167" spans="1:4" x14ac:dyDescent="0.25">
      <c r="A167" s="87" t="s">
        <v>158</v>
      </c>
      <c r="B167" s="99"/>
      <c r="C167" s="85" t="s">
        <v>142</v>
      </c>
      <c r="D167" s="105"/>
    </row>
    <row r="168" spans="1:4" x14ac:dyDescent="0.25">
      <c r="A168" s="111" t="s">
        <v>159</v>
      </c>
      <c r="B168" s="112"/>
      <c r="C168" s="113" t="s">
        <v>142</v>
      </c>
      <c r="D168" s="114">
        <f>(D147+D160)/(D146+D157)*1000</f>
        <v>385.77937452285533</v>
      </c>
    </row>
    <row r="169" spans="1:4" x14ac:dyDescent="0.25">
      <c r="A169" s="111" t="s">
        <v>160</v>
      </c>
      <c r="B169" s="112"/>
      <c r="C169" s="113" t="s">
        <v>142</v>
      </c>
      <c r="D169" s="114"/>
    </row>
    <row r="170" spans="1:4" x14ac:dyDescent="0.25">
      <c r="A170" s="80" t="s">
        <v>161</v>
      </c>
      <c r="B170" s="81"/>
      <c r="C170" s="115"/>
      <c r="D170" s="116"/>
    </row>
    <row r="171" spans="1:4" x14ac:dyDescent="0.25">
      <c r="A171" s="87" t="s">
        <v>162</v>
      </c>
      <c r="B171" s="81"/>
      <c r="C171" s="85" t="s">
        <v>98</v>
      </c>
      <c r="D171" s="117"/>
    </row>
    <row r="172" spans="1:4" x14ac:dyDescent="0.25">
      <c r="A172" s="87" t="s">
        <v>163</v>
      </c>
      <c r="B172" s="81"/>
      <c r="C172" s="85" t="s">
        <v>129</v>
      </c>
      <c r="D172" s="117"/>
    </row>
    <row r="173" spans="1:4" x14ac:dyDescent="0.25">
      <c r="A173" s="118" t="s">
        <v>164</v>
      </c>
      <c r="B173" s="119"/>
      <c r="C173" s="120" t="s">
        <v>59</v>
      </c>
      <c r="D173" s="121" t="e">
        <f>D172/D171/10</f>
        <v>#DIV/0!</v>
      </c>
    </row>
    <row r="174" spans="1:4" x14ac:dyDescent="0.25">
      <c r="A174" s="84" t="s">
        <v>165</v>
      </c>
      <c r="B174" s="99"/>
      <c r="C174" s="85" t="s">
        <v>137</v>
      </c>
      <c r="D174" s="86"/>
    </row>
    <row r="175" spans="1:4" x14ac:dyDescent="0.25">
      <c r="A175" s="87" t="s">
        <v>126</v>
      </c>
      <c r="B175" s="99"/>
      <c r="C175" s="85" t="s">
        <v>138</v>
      </c>
      <c r="D175" s="116"/>
    </row>
    <row r="176" spans="1:4" x14ac:dyDescent="0.25">
      <c r="A176" s="87" t="s">
        <v>139</v>
      </c>
      <c r="B176" s="99"/>
      <c r="C176" s="85" t="s">
        <v>140</v>
      </c>
      <c r="D176" s="86">
        <f>D174*D175/10000</f>
        <v>0</v>
      </c>
    </row>
    <row r="177" spans="1:5" x14ac:dyDescent="0.25">
      <c r="A177" s="87" t="s">
        <v>141</v>
      </c>
      <c r="B177" s="99"/>
      <c r="C177" s="85" t="s">
        <v>129</v>
      </c>
      <c r="D177" s="86"/>
    </row>
    <row r="178" spans="1:5" x14ac:dyDescent="0.25">
      <c r="A178" s="87" t="s">
        <v>166</v>
      </c>
      <c r="B178" s="99"/>
      <c r="C178" s="85" t="s">
        <v>142</v>
      </c>
      <c r="D178" s="94" t="e">
        <f>D177/D176*1000</f>
        <v>#DIV/0!</v>
      </c>
    </row>
    <row r="182" spans="1:5" x14ac:dyDescent="0.25">
      <c r="A182" t="s">
        <v>235</v>
      </c>
      <c r="D182" s="184" t="s">
        <v>236</v>
      </c>
    </row>
    <row r="186" spans="1:5" x14ac:dyDescent="0.25">
      <c r="A186" s="911" t="s">
        <v>223</v>
      </c>
      <c r="B186" s="911"/>
      <c r="C186" s="911"/>
      <c r="D186" s="911"/>
      <c r="E186" s="911"/>
    </row>
    <row r="187" spans="1:5" x14ac:dyDescent="0.25">
      <c r="A187" s="912" t="s">
        <v>224</v>
      </c>
      <c r="B187" s="912"/>
      <c r="C187" s="912"/>
      <c r="D187" s="912"/>
      <c r="E187" s="912"/>
    </row>
    <row r="188" spans="1:5" x14ac:dyDescent="0.25">
      <c r="A188" s="236"/>
      <c r="B188" s="236"/>
      <c r="C188" s="236"/>
      <c r="D188" s="236"/>
      <c r="E188" s="236"/>
    </row>
    <row r="189" spans="1:5" ht="15.75" x14ac:dyDescent="0.25">
      <c r="B189" s="910" t="s">
        <v>239</v>
      </c>
      <c r="C189" s="910"/>
      <c r="D189" s="910"/>
      <c r="E189" s="910"/>
    </row>
    <row r="190" spans="1:5" x14ac:dyDescent="0.25">
      <c r="A190" s="77"/>
      <c r="B190" s="78"/>
      <c r="C190" s="79" t="s">
        <v>122</v>
      </c>
      <c r="D190" s="79" t="s">
        <v>123</v>
      </c>
    </row>
    <row r="191" spans="1:5" x14ac:dyDescent="0.25">
      <c r="A191" s="80" t="s">
        <v>24</v>
      </c>
      <c r="B191" s="81"/>
      <c r="C191" s="82"/>
      <c r="D191" s="83"/>
    </row>
    <row r="192" spans="1:5" x14ac:dyDescent="0.25">
      <c r="A192" s="84" t="s">
        <v>124</v>
      </c>
      <c r="B192" s="81"/>
      <c r="C192" s="85" t="s">
        <v>125</v>
      </c>
      <c r="D192" s="86">
        <v>117</v>
      </c>
    </row>
    <row r="193" spans="1:4" x14ac:dyDescent="0.25">
      <c r="A193" s="87" t="s">
        <v>126</v>
      </c>
      <c r="B193" s="81"/>
      <c r="C193" s="85" t="s">
        <v>127</v>
      </c>
      <c r="D193" s="88">
        <v>8099</v>
      </c>
    </row>
    <row r="194" spans="1:4" x14ac:dyDescent="0.25">
      <c r="A194" s="87" t="s">
        <v>128</v>
      </c>
      <c r="B194" s="81"/>
      <c r="C194" s="85" t="s">
        <v>129</v>
      </c>
      <c r="D194" s="86">
        <v>144.12198000000001</v>
      </c>
    </row>
    <row r="195" spans="1:4" x14ac:dyDescent="0.25">
      <c r="A195" s="87" t="s">
        <v>130</v>
      </c>
      <c r="B195" s="81"/>
      <c r="C195" s="85" t="s">
        <v>129</v>
      </c>
      <c r="D195" s="86">
        <v>4.3910099999999996</v>
      </c>
    </row>
    <row r="196" spans="1:4" x14ac:dyDescent="0.25">
      <c r="A196" s="89" t="s">
        <v>131</v>
      </c>
      <c r="B196" s="90"/>
      <c r="C196" s="91" t="s">
        <v>132</v>
      </c>
      <c r="D196" s="92">
        <f>D197+D199+D198</f>
        <v>1544.3617948717949</v>
      </c>
    </row>
    <row r="197" spans="1:4" x14ac:dyDescent="0.25">
      <c r="A197" s="87" t="s">
        <v>133</v>
      </c>
      <c r="B197" s="93"/>
      <c r="C197" s="85" t="s">
        <v>134</v>
      </c>
      <c r="D197" s="94">
        <f>D194/D192*1000</f>
        <v>1231.811794871795</v>
      </c>
    </row>
    <row r="198" spans="1:4" x14ac:dyDescent="0.25">
      <c r="A198" s="95" t="s">
        <v>135</v>
      </c>
      <c r="B198" s="96"/>
      <c r="C198" s="85" t="s">
        <v>134</v>
      </c>
      <c r="D198" s="94">
        <f>D195/D192*1000</f>
        <v>37.529999999999994</v>
      </c>
    </row>
    <row r="199" spans="1:4" x14ac:dyDescent="0.25">
      <c r="A199" s="95" t="s">
        <v>136</v>
      </c>
      <c r="B199" s="97"/>
      <c r="C199" s="79" t="s">
        <v>134</v>
      </c>
      <c r="D199" s="98">
        <v>275.02</v>
      </c>
    </row>
    <row r="200" spans="1:4" x14ac:dyDescent="0.25">
      <c r="A200" s="80" t="s">
        <v>216</v>
      </c>
      <c r="B200" s="99"/>
      <c r="C200" s="85"/>
      <c r="D200" s="100"/>
    </row>
    <row r="201" spans="1:4" x14ac:dyDescent="0.25">
      <c r="A201" s="84" t="s">
        <v>226</v>
      </c>
      <c r="B201" s="99"/>
      <c r="C201" s="85" t="s">
        <v>221</v>
      </c>
      <c r="D201" s="101"/>
    </row>
    <row r="202" spans="1:4" x14ac:dyDescent="0.25">
      <c r="A202" s="87" t="s">
        <v>126</v>
      </c>
      <c r="B202" s="102"/>
      <c r="C202" s="85" t="s">
        <v>138</v>
      </c>
      <c r="D202" s="103"/>
    </row>
    <row r="203" spans="1:4" x14ac:dyDescent="0.25">
      <c r="A203" s="87" t="s">
        <v>139</v>
      </c>
      <c r="B203" s="99"/>
      <c r="C203" s="85" t="s">
        <v>140</v>
      </c>
      <c r="D203" s="101">
        <f>D201*0.75*D202/10000</f>
        <v>0</v>
      </c>
    </row>
    <row r="204" spans="1:4" x14ac:dyDescent="0.25">
      <c r="A204" s="87" t="s">
        <v>227</v>
      </c>
      <c r="B204" s="99"/>
      <c r="C204" s="85" t="s">
        <v>129</v>
      </c>
      <c r="D204" s="101"/>
    </row>
    <row r="205" spans="1:4" x14ac:dyDescent="0.25">
      <c r="A205" s="104" t="s">
        <v>228</v>
      </c>
      <c r="B205" s="93"/>
      <c r="C205" s="82" t="s">
        <v>142</v>
      </c>
      <c r="D205" s="105"/>
    </row>
    <row r="206" spans="1:4" x14ac:dyDescent="0.25">
      <c r="A206" s="80" t="s">
        <v>144</v>
      </c>
      <c r="B206" s="81"/>
      <c r="C206" s="106"/>
      <c r="D206" s="107"/>
    </row>
    <row r="207" spans="1:4" x14ac:dyDescent="0.25">
      <c r="A207" s="84" t="s">
        <v>145</v>
      </c>
      <c r="B207" s="99"/>
      <c r="C207" s="85" t="s">
        <v>143</v>
      </c>
      <c r="D207" s="101"/>
    </row>
    <row r="208" spans="1:4" x14ac:dyDescent="0.25">
      <c r="A208" s="84" t="s">
        <v>219</v>
      </c>
      <c r="B208" s="99"/>
      <c r="C208" s="85" t="s">
        <v>220</v>
      </c>
      <c r="D208" s="101"/>
    </row>
    <row r="209" spans="1:6" x14ac:dyDescent="0.25">
      <c r="A209" s="84" t="s">
        <v>162</v>
      </c>
      <c r="B209" s="99"/>
      <c r="C209" s="85" t="s">
        <v>221</v>
      </c>
      <c r="D209" s="101"/>
      <c r="E209" s="229"/>
      <c r="F209" s="229"/>
    </row>
    <row r="210" spans="1:6" x14ac:dyDescent="0.25">
      <c r="A210" s="87" t="s">
        <v>126</v>
      </c>
      <c r="B210" s="99"/>
      <c r="C210" s="85" t="s">
        <v>138</v>
      </c>
      <c r="D210" s="108"/>
      <c r="E210" s="229"/>
      <c r="F210" s="229"/>
    </row>
    <row r="211" spans="1:6" x14ac:dyDescent="0.25">
      <c r="A211" s="219" t="s">
        <v>139</v>
      </c>
      <c r="B211" s="220"/>
      <c r="C211" s="221" t="s">
        <v>140</v>
      </c>
      <c r="D211" s="222">
        <f>D209*D210/10000</f>
        <v>0</v>
      </c>
      <c r="E211" s="229"/>
      <c r="F211" s="229"/>
    </row>
    <row r="212" spans="1:6" x14ac:dyDescent="0.25">
      <c r="A212" s="224" t="s">
        <v>146</v>
      </c>
      <c r="B212" s="225"/>
      <c r="C212" s="226" t="s">
        <v>129</v>
      </c>
      <c r="D212" s="228"/>
      <c r="E212" s="229"/>
      <c r="F212" s="229"/>
    </row>
    <row r="213" spans="1:6" x14ac:dyDescent="0.25">
      <c r="A213" s="87" t="s">
        <v>147</v>
      </c>
      <c r="B213" s="99"/>
      <c r="C213" s="85" t="s">
        <v>142</v>
      </c>
      <c r="D213" s="109"/>
      <c r="E213" s="229"/>
      <c r="F213" s="229"/>
    </row>
    <row r="214" spans="1:6" x14ac:dyDescent="0.25">
      <c r="A214" s="87" t="s">
        <v>148</v>
      </c>
      <c r="B214" s="99"/>
      <c r="C214" s="85" t="s">
        <v>129</v>
      </c>
      <c r="D214" s="101">
        <v>0</v>
      </c>
      <c r="E214" s="229"/>
      <c r="F214" s="229"/>
    </row>
    <row r="215" spans="1:6" x14ac:dyDescent="0.25">
      <c r="A215" s="87" t="s">
        <v>149</v>
      </c>
      <c r="B215" s="99"/>
      <c r="C215" s="85" t="s">
        <v>129</v>
      </c>
      <c r="D215" s="101">
        <v>0</v>
      </c>
      <c r="E215" s="229"/>
      <c r="F215" s="229"/>
    </row>
    <row r="216" spans="1:6" x14ac:dyDescent="0.25">
      <c r="A216" s="104" t="s">
        <v>150</v>
      </c>
      <c r="B216" s="93"/>
      <c r="C216" s="82" t="s">
        <v>142</v>
      </c>
      <c r="D216" s="105"/>
      <c r="E216" s="229"/>
      <c r="F216" s="229"/>
    </row>
    <row r="217" spans="1:6" x14ac:dyDescent="0.25">
      <c r="A217" s="80" t="s">
        <v>151</v>
      </c>
      <c r="B217" s="93"/>
      <c r="C217" s="82"/>
      <c r="D217" s="110"/>
      <c r="E217" s="229"/>
      <c r="F217" s="229"/>
    </row>
    <row r="218" spans="1:6" x14ac:dyDescent="0.25">
      <c r="A218" s="84" t="s">
        <v>152</v>
      </c>
      <c r="B218" s="99"/>
      <c r="C218" s="85" t="s">
        <v>143</v>
      </c>
      <c r="D218" s="100"/>
      <c r="E218" s="229"/>
      <c r="F218" s="229"/>
    </row>
    <row r="219" spans="1:6" x14ac:dyDescent="0.25">
      <c r="A219" s="84" t="s">
        <v>219</v>
      </c>
      <c r="B219" s="99"/>
      <c r="C219" s="85" t="s">
        <v>220</v>
      </c>
      <c r="D219" s="103"/>
      <c r="E219" s="229"/>
      <c r="F219" s="229"/>
    </row>
    <row r="220" spans="1:6" x14ac:dyDescent="0.25">
      <c r="A220" s="84" t="s">
        <v>162</v>
      </c>
      <c r="B220" s="99"/>
      <c r="C220" s="85" t="s">
        <v>221</v>
      </c>
      <c r="D220" s="101"/>
      <c r="E220" s="229"/>
      <c r="F220" s="229"/>
    </row>
    <row r="221" spans="1:6" x14ac:dyDescent="0.25">
      <c r="A221" s="87" t="s">
        <v>126</v>
      </c>
      <c r="B221" s="99"/>
      <c r="C221" s="85" t="s">
        <v>138</v>
      </c>
      <c r="D221" s="108"/>
      <c r="E221" s="229"/>
      <c r="F221" s="229"/>
    </row>
    <row r="222" spans="1:6" x14ac:dyDescent="0.25">
      <c r="A222" s="219" t="s">
        <v>139</v>
      </c>
      <c r="B222" s="220"/>
      <c r="C222" s="221" t="s">
        <v>140</v>
      </c>
      <c r="D222" s="222">
        <f>D220*D221/10000</f>
        <v>0</v>
      </c>
      <c r="E222" s="229"/>
      <c r="F222" s="229"/>
    </row>
    <row r="223" spans="1:6" x14ac:dyDescent="0.25">
      <c r="A223" s="87" t="s">
        <v>153</v>
      </c>
      <c r="B223" s="99"/>
      <c r="C223" s="85" t="s">
        <v>129</v>
      </c>
      <c r="D223" s="101"/>
      <c r="E223" s="229"/>
      <c r="F223" s="229"/>
    </row>
    <row r="224" spans="1:6" x14ac:dyDescent="0.25">
      <c r="A224" s="87" t="s">
        <v>148</v>
      </c>
      <c r="B224" s="99"/>
      <c r="C224" s="85" t="s">
        <v>129</v>
      </c>
      <c r="D224" s="101"/>
      <c r="E224" s="229"/>
      <c r="F224" s="229"/>
    </row>
    <row r="225" spans="1:6" x14ac:dyDescent="0.25">
      <c r="A225" s="224" t="s">
        <v>222</v>
      </c>
      <c r="B225" s="225"/>
      <c r="C225" s="226" t="s">
        <v>129</v>
      </c>
      <c r="D225" s="228"/>
      <c r="E225" s="229"/>
      <c r="F225" s="229"/>
    </row>
    <row r="226" spans="1:6" x14ac:dyDescent="0.25">
      <c r="A226" s="87" t="s">
        <v>154</v>
      </c>
      <c r="B226" s="99"/>
      <c r="C226" s="85" t="s">
        <v>142</v>
      </c>
      <c r="D226" s="105"/>
      <c r="E226" s="229"/>
      <c r="F226" s="229"/>
    </row>
    <row r="227" spans="1:6" x14ac:dyDescent="0.25">
      <c r="A227" s="80" t="s">
        <v>155</v>
      </c>
      <c r="B227" s="99"/>
      <c r="C227" s="85"/>
      <c r="D227" s="109"/>
      <c r="E227" s="229"/>
      <c r="F227" s="229"/>
    </row>
    <row r="228" spans="1:6" x14ac:dyDescent="0.25">
      <c r="A228" s="84" t="s">
        <v>156</v>
      </c>
      <c r="B228" s="99"/>
      <c r="C228" s="85" t="s">
        <v>143</v>
      </c>
      <c r="D228" s="101"/>
      <c r="E228" s="229"/>
      <c r="F228" s="229"/>
    </row>
    <row r="229" spans="1:6" x14ac:dyDescent="0.25">
      <c r="A229" s="87" t="s">
        <v>126</v>
      </c>
      <c r="B229" s="99"/>
      <c r="C229" s="85" t="s">
        <v>138</v>
      </c>
      <c r="D229" s="108"/>
      <c r="E229" s="229"/>
      <c r="F229" s="229"/>
    </row>
    <row r="230" spans="1:6" x14ac:dyDescent="0.25">
      <c r="A230" s="87" t="s">
        <v>139</v>
      </c>
      <c r="B230" s="99"/>
      <c r="C230" s="85" t="s">
        <v>140</v>
      </c>
      <c r="D230" s="101"/>
      <c r="E230" s="229"/>
      <c r="F230" s="229"/>
    </row>
    <row r="231" spans="1:6" x14ac:dyDescent="0.25">
      <c r="A231" s="87" t="s">
        <v>157</v>
      </c>
      <c r="B231" s="99"/>
      <c r="C231" s="85" t="s">
        <v>129</v>
      </c>
      <c r="D231" s="101"/>
      <c r="E231" s="229"/>
      <c r="F231" s="229"/>
    </row>
    <row r="232" spans="1:6" x14ac:dyDescent="0.25">
      <c r="A232" s="87" t="s">
        <v>158</v>
      </c>
      <c r="B232" s="99"/>
      <c r="C232" s="85" t="s">
        <v>142</v>
      </c>
      <c r="D232" s="105"/>
      <c r="E232" s="229"/>
      <c r="F232" s="229"/>
    </row>
    <row r="233" spans="1:6" x14ac:dyDescent="0.25">
      <c r="A233" s="111" t="s">
        <v>159</v>
      </c>
      <c r="B233" s="112"/>
      <c r="C233" s="113" t="s">
        <v>142</v>
      </c>
      <c r="D233" s="114"/>
      <c r="E233" s="229"/>
      <c r="F233" s="229"/>
    </row>
    <row r="234" spans="1:6" x14ac:dyDescent="0.25">
      <c r="A234" s="111" t="s">
        <v>160</v>
      </c>
      <c r="B234" s="112"/>
      <c r="C234" s="113" t="s">
        <v>142</v>
      </c>
      <c r="D234" s="114"/>
      <c r="E234" s="229"/>
      <c r="F234" s="229"/>
    </row>
    <row r="235" spans="1:6" x14ac:dyDescent="0.25">
      <c r="A235" s="80" t="s">
        <v>161</v>
      </c>
      <c r="B235" s="81"/>
      <c r="C235" s="115"/>
      <c r="D235" s="116"/>
      <c r="E235" s="229"/>
      <c r="F235" s="229"/>
    </row>
    <row r="236" spans="1:6" x14ac:dyDescent="0.25">
      <c r="A236" s="87" t="s">
        <v>162</v>
      </c>
      <c r="B236" s="81"/>
      <c r="C236" s="85" t="s">
        <v>98</v>
      </c>
      <c r="D236" s="117"/>
      <c r="E236" s="229"/>
      <c r="F236" s="229"/>
    </row>
    <row r="237" spans="1:6" x14ac:dyDescent="0.25">
      <c r="A237" s="87" t="s">
        <v>163</v>
      </c>
      <c r="B237" s="81"/>
      <c r="C237" s="85" t="s">
        <v>129</v>
      </c>
      <c r="D237" s="117"/>
      <c r="E237" s="229"/>
      <c r="F237" s="229"/>
    </row>
    <row r="238" spans="1:6" x14ac:dyDescent="0.25">
      <c r="A238" s="118" t="s">
        <v>164</v>
      </c>
      <c r="B238" s="119"/>
      <c r="C238" s="120" t="s">
        <v>59</v>
      </c>
      <c r="D238" s="121"/>
      <c r="E238" s="229"/>
      <c r="F238" s="229"/>
    </row>
    <row r="239" spans="1:6" x14ac:dyDescent="0.25">
      <c r="A239" s="84" t="s">
        <v>165</v>
      </c>
      <c r="B239" s="99"/>
      <c r="C239" s="85" t="s">
        <v>137</v>
      </c>
      <c r="D239" s="86"/>
      <c r="E239" s="229"/>
      <c r="F239" s="229"/>
    </row>
    <row r="240" spans="1:6" x14ac:dyDescent="0.25">
      <c r="A240" s="87" t="s">
        <v>126</v>
      </c>
      <c r="B240" s="99"/>
      <c r="C240" s="85" t="s">
        <v>138</v>
      </c>
      <c r="D240" s="116"/>
      <c r="E240" s="229"/>
      <c r="F240" s="229"/>
    </row>
    <row r="241" spans="1:6" x14ac:dyDescent="0.25">
      <c r="A241" s="87" t="s">
        <v>139</v>
      </c>
      <c r="B241" s="99"/>
      <c r="C241" s="85" t="s">
        <v>140</v>
      </c>
      <c r="D241" s="86">
        <f>D239*D240/10000</f>
        <v>0</v>
      </c>
      <c r="E241" s="229"/>
      <c r="F241" s="229"/>
    </row>
    <row r="242" spans="1:6" x14ac:dyDescent="0.25">
      <c r="A242" s="87" t="s">
        <v>141</v>
      </c>
      <c r="B242" s="99"/>
      <c r="C242" s="85" t="s">
        <v>129</v>
      </c>
      <c r="D242" s="86"/>
      <c r="E242" s="229"/>
      <c r="F242" s="229"/>
    </row>
    <row r="243" spans="1:6" x14ac:dyDescent="0.25">
      <c r="A243" s="87" t="s">
        <v>166</v>
      </c>
      <c r="B243" s="99"/>
      <c r="C243" s="85" t="s">
        <v>142</v>
      </c>
      <c r="D243" s="94"/>
      <c r="E243" s="229"/>
      <c r="F243" s="229"/>
    </row>
    <row r="244" spans="1:6" x14ac:dyDescent="0.25">
      <c r="E244" s="229"/>
      <c r="F244" s="229"/>
    </row>
    <row r="245" spans="1:6" x14ac:dyDescent="0.25">
      <c r="A245" t="s">
        <v>189</v>
      </c>
      <c r="D245" s="184" t="s">
        <v>190</v>
      </c>
    </row>
    <row r="247" spans="1:6" x14ac:dyDescent="0.25">
      <c r="D247" s="184"/>
    </row>
    <row r="251" spans="1:6" x14ac:dyDescent="0.25">
      <c r="A251" s="911" t="s">
        <v>223</v>
      </c>
      <c r="B251" s="911"/>
      <c r="C251" s="911"/>
      <c r="D251" s="911"/>
      <c r="E251" s="911"/>
    </row>
    <row r="252" spans="1:6" x14ac:dyDescent="0.25">
      <c r="A252" s="912" t="s">
        <v>224</v>
      </c>
      <c r="B252" s="912"/>
      <c r="C252" s="912"/>
      <c r="D252" s="912"/>
      <c r="E252" s="912"/>
    </row>
    <row r="253" spans="1:6" x14ac:dyDescent="0.25">
      <c r="A253" s="264"/>
      <c r="B253" s="264"/>
      <c r="C253" s="264"/>
      <c r="D253" s="264"/>
      <c r="E253" s="264"/>
    </row>
    <row r="254" spans="1:6" ht="15.75" x14ac:dyDescent="0.25">
      <c r="B254" s="910" t="s">
        <v>245</v>
      </c>
      <c r="C254" s="910"/>
      <c r="D254" s="910"/>
      <c r="E254" s="910"/>
    </row>
    <row r="255" spans="1:6" ht="15.75" x14ac:dyDescent="0.25">
      <c r="B255" s="265"/>
      <c r="C255" s="265"/>
      <c r="D255" s="265"/>
      <c r="E255" s="265"/>
    </row>
    <row r="256" spans="1:6" x14ac:dyDescent="0.25">
      <c r="A256" s="77"/>
      <c r="B256" s="78"/>
      <c r="C256" s="79" t="s">
        <v>122</v>
      </c>
      <c r="D256" s="79" t="s">
        <v>123</v>
      </c>
    </row>
    <row r="257" spans="1:4" x14ac:dyDescent="0.25">
      <c r="A257" s="80" t="s">
        <v>24</v>
      </c>
      <c r="B257" s="81"/>
      <c r="C257" s="82"/>
      <c r="D257" s="83"/>
    </row>
    <row r="258" spans="1:4" x14ac:dyDescent="0.25">
      <c r="A258" s="84" t="s">
        <v>124</v>
      </c>
      <c r="B258" s="81"/>
      <c r="C258" s="85" t="s">
        <v>125</v>
      </c>
      <c r="D258" s="86">
        <v>339</v>
      </c>
    </row>
    <row r="259" spans="1:4" x14ac:dyDescent="0.25">
      <c r="A259" s="87" t="s">
        <v>126</v>
      </c>
      <c r="B259" s="81"/>
      <c r="C259" s="85" t="s">
        <v>127</v>
      </c>
      <c r="D259" s="88">
        <v>8056</v>
      </c>
    </row>
    <row r="260" spans="1:4" x14ac:dyDescent="0.25">
      <c r="A260" s="87" t="s">
        <v>128</v>
      </c>
      <c r="B260" s="81"/>
      <c r="C260" s="85" t="s">
        <v>129</v>
      </c>
      <c r="D260" s="86">
        <v>411.43790000000001</v>
      </c>
    </row>
    <row r="261" spans="1:4" x14ac:dyDescent="0.25">
      <c r="A261" s="87" t="s">
        <v>130</v>
      </c>
      <c r="B261" s="81"/>
      <c r="C261" s="85" t="s">
        <v>129</v>
      </c>
      <c r="D261" s="86">
        <v>12.722670000000001</v>
      </c>
    </row>
    <row r="262" spans="1:4" x14ac:dyDescent="0.25">
      <c r="A262" s="89" t="s">
        <v>131</v>
      </c>
      <c r="B262" s="90"/>
      <c r="C262" s="91" t="s">
        <v>132</v>
      </c>
      <c r="D262" s="92">
        <f>D263+D265+D264</f>
        <v>1526.2311209439529</v>
      </c>
    </row>
    <row r="263" spans="1:4" x14ac:dyDescent="0.25">
      <c r="A263" s="87" t="s">
        <v>133</v>
      </c>
      <c r="B263" s="93"/>
      <c r="C263" s="85" t="s">
        <v>134</v>
      </c>
      <c r="D263" s="94">
        <f>D260/D258*1000</f>
        <v>1213.6811209439529</v>
      </c>
    </row>
    <row r="264" spans="1:4" x14ac:dyDescent="0.25">
      <c r="A264" s="95" t="s">
        <v>135</v>
      </c>
      <c r="B264" s="96"/>
      <c r="C264" s="85" t="s">
        <v>134</v>
      </c>
      <c r="D264" s="94">
        <f>D261/D258*1000</f>
        <v>37.53</v>
      </c>
    </row>
    <row r="265" spans="1:4" x14ac:dyDescent="0.25">
      <c r="A265" s="95" t="s">
        <v>136</v>
      </c>
      <c r="B265" s="97"/>
      <c r="C265" s="79" t="s">
        <v>134</v>
      </c>
      <c r="D265" s="98">
        <v>275.02</v>
      </c>
    </row>
    <row r="266" spans="1:4" x14ac:dyDescent="0.25">
      <c r="A266" s="80" t="s">
        <v>216</v>
      </c>
      <c r="B266" s="99"/>
      <c r="C266" s="85"/>
      <c r="D266" s="100"/>
    </row>
    <row r="267" spans="1:4" x14ac:dyDescent="0.25">
      <c r="A267" s="84" t="s">
        <v>226</v>
      </c>
      <c r="B267" s="99"/>
      <c r="C267" s="85" t="s">
        <v>221</v>
      </c>
      <c r="D267" s="101">
        <v>148.80000000000001</v>
      </c>
    </row>
    <row r="268" spans="1:4" x14ac:dyDescent="0.25">
      <c r="A268" s="87" t="s">
        <v>126</v>
      </c>
      <c r="B268" s="102"/>
      <c r="C268" s="85" t="s">
        <v>138</v>
      </c>
      <c r="D268" s="103">
        <v>5623</v>
      </c>
    </row>
    <row r="269" spans="1:4" x14ac:dyDescent="0.25">
      <c r="A269" s="87" t="s">
        <v>139</v>
      </c>
      <c r="B269" s="99"/>
      <c r="C269" s="85" t="s">
        <v>140</v>
      </c>
      <c r="D269" s="101">
        <f>D267*D268/10000</f>
        <v>83.670240000000007</v>
      </c>
    </row>
    <row r="270" spans="1:4" x14ac:dyDescent="0.25">
      <c r="A270" s="87" t="s">
        <v>227</v>
      </c>
      <c r="B270" s="99"/>
      <c r="C270" s="85" t="s">
        <v>129</v>
      </c>
      <c r="D270" s="101">
        <v>67.637039999999999</v>
      </c>
    </row>
    <row r="271" spans="1:4" x14ac:dyDescent="0.25">
      <c r="A271" s="268" t="s">
        <v>228</v>
      </c>
      <c r="B271" s="269"/>
      <c r="C271" s="270" t="s">
        <v>142</v>
      </c>
      <c r="D271" s="271">
        <f>D270/D269*1000</f>
        <v>808.37631157744977</v>
      </c>
    </row>
    <row r="272" spans="1:4" x14ac:dyDescent="0.25">
      <c r="A272" s="80" t="s">
        <v>144</v>
      </c>
      <c r="B272" s="81"/>
      <c r="C272" s="106"/>
      <c r="D272" s="107"/>
    </row>
    <row r="273" spans="1:5" x14ac:dyDescent="0.25">
      <c r="A273" s="84" t="s">
        <v>145</v>
      </c>
      <c r="B273" s="99"/>
      <c r="C273" s="85" t="s">
        <v>143</v>
      </c>
      <c r="D273" s="101"/>
    </row>
    <row r="274" spans="1:5" x14ac:dyDescent="0.25">
      <c r="A274" s="84" t="s">
        <v>219</v>
      </c>
      <c r="B274" s="99"/>
      <c r="C274" s="85" t="s">
        <v>220</v>
      </c>
      <c r="D274" s="101"/>
    </row>
    <row r="275" spans="1:5" x14ac:dyDescent="0.25">
      <c r="A275" s="84" t="s">
        <v>162</v>
      </c>
      <c r="B275" s="99"/>
      <c r="C275" s="85" t="s">
        <v>221</v>
      </c>
      <c r="D275" s="101"/>
      <c r="E275" s="229"/>
    </row>
    <row r="276" spans="1:5" x14ac:dyDescent="0.25">
      <c r="A276" s="87" t="s">
        <v>126</v>
      </c>
      <c r="B276" s="99"/>
      <c r="C276" s="85" t="s">
        <v>138</v>
      </c>
      <c r="D276" s="108"/>
      <c r="E276" s="229"/>
    </row>
    <row r="277" spans="1:5" x14ac:dyDescent="0.25">
      <c r="A277" s="219" t="s">
        <v>139</v>
      </c>
      <c r="B277" s="220"/>
      <c r="C277" s="221" t="s">
        <v>140</v>
      </c>
      <c r="D277" s="222">
        <f>D275*D276/10000</f>
        <v>0</v>
      </c>
      <c r="E277" s="229"/>
    </row>
    <row r="278" spans="1:5" x14ac:dyDescent="0.25">
      <c r="A278" s="224" t="s">
        <v>146</v>
      </c>
      <c r="B278" s="225"/>
      <c r="C278" s="226" t="s">
        <v>129</v>
      </c>
      <c r="D278" s="228"/>
      <c r="E278" s="229"/>
    </row>
    <row r="279" spans="1:5" x14ac:dyDescent="0.25">
      <c r="A279" s="87" t="s">
        <v>147</v>
      </c>
      <c r="B279" s="99"/>
      <c r="C279" s="85" t="s">
        <v>142</v>
      </c>
      <c r="D279" s="109"/>
      <c r="E279" s="229"/>
    </row>
    <row r="280" spans="1:5" x14ac:dyDescent="0.25">
      <c r="A280" s="87" t="s">
        <v>148</v>
      </c>
      <c r="B280" s="99"/>
      <c r="C280" s="85" t="s">
        <v>129</v>
      </c>
      <c r="D280" s="101">
        <v>0</v>
      </c>
      <c r="E280" s="229"/>
    </row>
    <row r="281" spans="1:5" x14ac:dyDescent="0.25">
      <c r="A281" s="87" t="s">
        <v>149</v>
      </c>
      <c r="B281" s="99"/>
      <c r="C281" s="85" t="s">
        <v>129</v>
      </c>
      <c r="D281" s="101">
        <v>0</v>
      </c>
      <c r="E281" s="229"/>
    </row>
    <row r="282" spans="1:5" x14ac:dyDescent="0.25">
      <c r="A282" s="104" t="s">
        <v>150</v>
      </c>
      <c r="B282" s="93"/>
      <c r="C282" s="82" t="s">
        <v>142</v>
      </c>
      <c r="D282" s="105"/>
      <c r="E282" s="229"/>
    </row>
    <row r="283" spans="1:5" x14ac:dyDescent="0.25">
      <c r="A283" s="80" t="s">
        <v>151</v>
      </c>
      <c r="B283" s="93"/>
      <c r="C283" s="82"/>
      <c r="D283" s="110"/>
      <c r="E283" s="229"/>
    </row>
    <row r="284" spans="1:5" x14ac:dyDescent="0.25">
      <c r="A284" s="84" t="s">
        <v>152</v>
      </c>
      <c r="B284" s="99"/>
      <c r="C284" s="85" t="s">
        <v>143</v>
      </c>
      <c r="D284" s="100">
        <v>83.44</v>
      </c>
      <c r="E284" s="229"/>
    </row>
    <row r="285" spans="1:5" x14ac:dyDescent="0.25">
      <c r="A285" s="84" t="s">
        <v>219</v>
      </c>
      <c r="B285" s="99"/>
      <c r="C285" s="85" t="s">
        <v>220</v>
      </c>
      <c r="D285" s="103">
        <v>750</v>
      </c>
      <c r="E285" s="229"/>
    </row>
    <row r="286" spans="1:5" x14ac:dyDescent="0.25">
      <c r="A286" s="84" t="s">
        <v>162</v>
      </c>
      <c r="B286" s="99"/>
      <c r="C286" s="85" t="s">
        <v>221</v>
      </c>
      <c r="D286" s="101">
        <f>D284*D285/1000</f>
        <v>62.58</v>
      </c>
      <c r="E286" s="229"/>
    </row>
    <row r="287" spans="1:5" x14ac:dyDescent="0.25">
      <c r="A287" s="87" t="s">
        <v>126</v>
      </c>
      <c r="B287" s="99"/>
      <c r="C287" s="85" t="s">
        <v>138</v>
      </c>
      <c r="D287" s="108">
        <v>3293</v>
      </c>
      <c r="E287" s="229"/>
    </row>
    <row r="288" spans="1:5" x14ac:dyDescent="0.25">
      <c r="A288" s="219" t="s">
        <v>139</v>
      </c>
      <c r="B288" s="220"/>
      <c r="C288" s="221" t="s">
        <v>140</v>
      </c>
      <c r="D288" s="222">
        <v>20.608000000000001</v>
      </c>
      <c r="E288" s="229"/>
    </row>
    <row r="289" spans="1:13" x14ac:dyDescent="0.25">
      <c r="A289" s="87" t="s">
        <v>153</v>
      </c>
      <c r="B289" s="99"/>
      <c r="C289" s="85" t="s">
        <v>129</v>
      </c>
      <c r="D289" s="293">
        <v>5.1732800000000001</v>
      </c>
      <c r="E289" s="229"/>
    </row>
    <row r="290" spans="1:13" x14ac:dyDescent="0.25">
      <c r="A290" s="87" t="s">
        <v>148</v>
      </c>
      <c r="B290" s="99"/>
      <c r="C290" s="85" t="s">
        <v>129</v>
      </c>
      <c r="D290" s="293">
        <v>1.0012799999999999</v>
      </c>
      <c r="E290" s="229"/>
    </row>
    <row r="291" spans="1:13" x14ac:dyDescent="0.25">
      <c r="A291" s="272" t="s">
        <v>222</v>
      </c>
      <c r="B291" s="273"/>
      <c r="C291" s="274" t="s">
        <v>129</v>
      </c>
      <c r="D291" s="294">
        <f>SUM(D289:D290)</f>
        <v>6.1745599999999996</v>
      </c>
      <c r="E291" s="229"/>
    </row>
    <row r="292" spans="1:13" x14ac:dyDescent="0.25">
      <c r="A292" s="275" t="s">
        <v>154</v>
      </c>
      <c r="B292" s="276"/>
      <c r="C292" s="277" t="s">
        <v>142</v>
      </c>
      <c r="D292" s="267">
        <f>D291*1000/D288</f>
        <v>299.61956521739125</v>
      </c>
      <c r="E292" s="229"/>
    </row>
    <row r="293" spans="1:13" x14ac:dyDescent="0.25">
      <c r="A293" s="80" t="s">
        <v>246</v>
      </c>
      <c r="B293" s="99"/>
      <c r="C293" s="85"/>
      <c r="D293" s="109"/>
      <c r="E293" s="229"/>
    </row>
    <row r="294" spans="1:13" x14ac:dyDescent="0.25">
      <c r="A294" s="84" t="s">
        <v>247</v>
      </c>
      <c r="B294" s="99"/>
      <c r="C294" s="85" t="s">
        <v>221</v>
      </c>
      <c r="D294" s="101">
        <v>6.93</v>
      </c>
      <c r="E294" s="229"/>
    </row>
    <row r="295" spans="1:13" x14ac:dyDescent="0.25">
      <c r="A295" s="87" t="s">
        <v>126</v>
      </c>
      <c r="B295" s="99"/>
      <c r="C295" s="85" t="s">
        <v>138</v>
      </c>
      <c r="D295" s="108">
        <v>4507</v>
      </c>
      <c r="E295" s="229"/>
    </row>
    <row r="296" spans="1:13" x14ac:dyDescent="0.25">
      <c r="A296" s="87" t="s">
        <v>139</v>
      </c>
      <c r="B296" s="99"/>
      <c r="C296" s="85" t="s">
        <v>140</v>
      </c>
      <c r="D296" s="101">
        <f>D294*D295/10000</f>
        <v>3.123351</v>
      </c>
      <c r="E296" s="229"/>
    </row>
    <row r="297" spans="1:13" x14ac:dyDescent="0.25">
      <c r="A297" s="87" t="s">
        <v>248</v>
      </c>
      <c r="B297" s="99"/>
      <c r="C297" s="85" t="s">
        <v>129</v>
      </c>
      <c r="D297" s="101">
        <f>4.2273</f>
        <v>4.2272999999999996</v>
      </c>
      <c r="E297" s="229"/>
      <c r="F297" s="229"/>
      <c r="G297" s="229"/>
      <c r="H297" s="229"/>
      <c r="I297" s="229"/>
      <c r="J297" s="229"/>
      <c r="K297" s="229"/>
      <c r="L297" s="229"/>
      <c r="M297" s="229"/>
    </row>
    <row r="298" spans="1:13" s="282" customFormat="1" x14ac:dyDescent="0.25">
      <c r="A298" s="278" t="s">
        <v>158</v>
      </c>
      <c r="B298" s="279"/>
      <c r="C298" s="280" t="s">
        <v>142</v>
      </c>
      <c r="D298" s="281">
        <f>D297*1000/D296</f>
        <v>1353.4501885955178</v>
      </c>
      <c r="E298" s="229"/>
      <c r="F298" s="229"/>
      <c r="G298" s="229"/>
      <c r="H298" s="229"/>
      <c r="I298" s="229"/>
      <c r="J298" s="229"/>
      <c r="K298" s="229"/>
      <c r="L298" s="229"/>
      <c r="M298" s="229"/>
    </row>
    <row r="299" spans="1:13" x14ac:dyDescent="0.25">
      <c r="A299" s="111" t="s">
        <v>159</v>
      </c>
      <c r="B299" s="112"/>
      <c r="C299" s="113" t="s">
        <v>142</v>
      </c>
      <c r="D299" s="114"/>
      <c r="E299" s="229"/>
    </row>
    <row r="300" spans="1:13" x14ac:dyDescent="0.25">
      <c r="A300" s="111" t="s">
        <v>160</v>
      </c>
      <c r="B300" s="112"/>
      <c r="C300" s="113" t="s">
        <v>142</v>
      </c>
      <c r="D300" s="114"/>
      <c r="E300" s="229"/>
    </row>
    <row r="301" spans="1:13" x14ac:dyDescent="0.25">
      <c r="A301" s="80" t="s">
        <v>161</v>
      </c>
      <c r="B301" s="81"/>
      <c r="C301" s="115"/>
      <c r="D301" s="116"/>
      <c r="E301" s="229"/>
    </row>
    <row r="302" spans="1:13" x14ac:dyDescent="0.25">
      <c r="A302" s="87" t="s">
        <v>162</v>
      </c>
      <c r="B302" s="81"/>
      <c r="C302" s="85" t="s">
        <v>98</v>
      </c>
      <c r="D302" s="117"/>
      <c r="E302" s="229"/>
    </row>
    <row r="303" spans="1:13" x14ac:dyDescent="0.25">
      <c r="A303" s="87" t="s">
        <v>163</v>
      </c>
      <c r="B303" s="81"/>
      <c r="C303" s="85" t="s">
        <v>129</v>
      </c>
      <c r="D303" s="117"/>
      <c r="E303" s="229"/>
    </row>
    <row r="304" spans="1:13" x14ac:dyDescent="0.25">
      <c r="A304" s="118" t="s">
        <v>164</v>
      </c>
      <c r="B304" s="119"/>
      <c r="C304" s="120" t="s">
        <v>59</v>
      </c>
      <c r="D304" s="121"/>
      <c r="E304" s="229"/>
    </row>
    <row r="305" spans="1:5" x14ac:dyDescent="0.25">
      <c r="A305" s="84" t="s">
        <v>165</v>
      </c>
      <c r="B305" s="99"/>
      <c r="C305" s="85" t="s">
        <v>137</v>
      </c>
      <c r="D305" s="86"/>
      <c r="E305" s="229"/>
    </row>
    <row r="306" spans="1:5" x14ac:dyDescent="0.25">
      <c r="A306" s="87" t="s">
        <v>126</v>
      </c>
      <c r="B306" s="99"/>
      <c r="C306" s="85" t="s">
        <v>138</v>
      </c>
      <c r="D306" s="116"/>
      <c r="E306" s="229"/>
    </row>
    <row r="307" spans="1:5" x14ac:dyDescent="0.25">
      <c r="A307" s="87" t="s">
        <v>139</v>
      </c>
      <c r="B307" s="99"/>
      <c r="C307" s="85" t="s">
        <v>140</v>
      </c>
      <c r="D307" s="86">
        <f>D305*D306/10000</f>
        <v>0</v>
      </c>
      <c r="E307" s="229"/>
    </row>
    <row r="308" spans="1:5" x14ac:dyDescent="0.25">
      <c r="A308" s="87" t="s">
        <v>141</v>
      </c>
      <c r="B308" s="99"/>
      <c r="C308" s="85" t="s">
        <v>129</v>
      </c>
      <c r="D308" s="86"/>
      <c r="E308" s="229"/>
    </row>
    <row r="309" spans="1:5" x14ac:dyDescent="0.25">
      <c r="A309" s="87" t="s">
        <v>166</v>
      </c>
      <c r="B309" s="99"/>
      <c r="C309" s="85" t="s">
        <v>142</v>
      </c>
      <c r="D309" s="94"/>
      <c r="E309" s="229"/>
    </row>
    <row r="310" spans="1:5" x14ac:dyDescent="0.25">
      <c r="E310" s="229"/>
    </row>
    <row r="316" spans="1:5" x14ac:dyDescent="0.25">
      <c r="A316" t="s">
        <v>189</v>
      </c>
      <c r="D316" s="184" t="s">
        <v>190</v>
      </c>
    </row>
    <row r="323" spans="1:5" x14ac:dyDescent="0.25">
      <c r="A323" s="911" t="s">
        <v>223</v>
      </c>
      <c r="B323" s="911"/>
      <c r="C323" s="911"/>
      <c r="D323" s="911"/>
      <c r="E323" s="911"/>
    </row>
    <row r="324" spans="1:5" x14ac:dyDescent="0.25">
      <c r="A324" s="912" t="s">
        <v>224</v>
      </c>
      <c r="B324" s="912"/>
      <c r="C324" s="912"/>
      <c r="D324" s="912"/>
      <c r="E324" s="912"/>
    </row>
    <row r="325" spans="1:5" x14ac:dyDescent="0.25">
      <c r="A325" s="296"/>
      <c r="B325" s="296"/>
      <c r="C325" s="296"/>
      <c r="D325" s="296"/>
      <c r="E325" s="296"/>
    </row>
    <row r="326" spans="1:5" ht="15.75" x14ac:dyDescent="0.25">
      <c r="B326" s="910" t="s">
        <v>257</v>
      </c>
      <c r="C326" s="910"/>
      <c r="D326" s="910"/>
      <c r="E326" s="910"/>
    </row>
    <row r="327" spans="1:5" ht="15.75" x14ac:dyDescent="0.25">
      <c r="B327" s="295"/>
      <c r="C327" s="295"/>
      <c r="D327" s="295"/>
      <c r="E327" s="295"/>
    </row>
    <row r="328" spans="1:5" x14ac:dyDescent="0.25">
      <c r="A328" s="77"/>
      <c r="B328" s="78"/>
      <c r="C328" s="79" t="s">
        <v>122</v>
      </c>
      <c r="D328" s="79" t="s">
        <v>123</v>
      </c>
    </row>
    <row r="329" spans="1:5" x14ac:dyDescent="0.25">
      <c r="A329" s="80" t="s">
        <v>24</v>
      </c>
      <c r="B329" s="81"/>
      <c r="C329" s="82"/>
      <c r="D329" s="83"/>
    </row>
    <row r="330" spans="1:5" x14ac:dyDescent="0.25">
      <c r="A330" s="84" t="s">
        <v>124</v>
      </c>
      <c r="B330" s="81"/>
      <c r="C330" s="85" t="s">
        <v>125</v>
      </c>
      <c r="D330" s="86">
        <v>423</v>
      </c>
    </row>
    <row r="331" spans="1:5" x14ac:dyDescent="0.25">
      <c r="A331" s="87" t="s">
        <v>126</v>
      </c>
      <c r="B331" s="81"/>
      <c r="C331" s="85" t="s">
        <v>127</v>
      </c>
      <c r="D331" s="88">
        <v>8069</v>
      </c>
    </row>
    <row r="332" spans="1:5" x14ac:dyDescent="0.25">
      <c r="A332" s="87" t="s">
        <v>128</v>
      </c>
      <c r="B332" s="81"/>
      <c r="C332" s="85" t="s">
        <v>129</v>
      </c>
      <c r="D332" s="86">
        <v>519.46678999999995</v>
      </c>
    </row>
    <row r="333" spans="1:5" x14ac:dyDescent="0.25">
      <c r="A333" s="87" t="s">
        <v>130</v>
      </c>
      <c r="B333" s="81"/>
      <c r="C333" s="85" t="s">
        <v>129</v>
      </c>
      <c r="D333" s="86">
        <v>15.87519</v>
      </c>
    </row>
    <row r="334" spans="1:5" x14ac:dyDescent="0.25">
      <c r="A334" s="89" t="s">
        <v>131</v>
      </c>
      <c r="B334" s="90"/>
      <c r="C334" s="91" t="s">
        <v>132</v>
      </c>
      <c r="D334" s="92">
        <f>D335+D337+D336</f>
        <v>1540.6038770685577</v>
      </c>
    </row>
    <row r="335" spans="1:5" x14ac:dyDescent="0.25">
      <c r="A335" s="87" t="s">
        <v>133</v>
      </c>
      <c r="B335" s="93"/>
      <c r="C335" s="85" t="s">
        <v>134</v>
      </c>
      <c r="D335" s="94">
        <f>D332/D330*1000</f>
        <v>1228.0538770685578</v>
      </c>
    </row>
    <row r="336" spans="1:5" x14ac:dyDescent="0.25">
      <c r="A336" s="95" t="s">
        <v>135</v>
      </c>
      <c r="B336" s="96"/>
      <c r="C336" s="85" t="s">
        <v>134</v>
      </c>
      <c r="D336" s="94">
        <f>D333/D330*1000</f>
        <v>37.53</v>
      </c>
    </row>
    <row r="337" spans="1:5" x14ac:dyDescent="0.25">
      <c r="A337" s="95" t="s">
        <v>136</v>
      </c>
      <c r="B337" s="97"/>
      <c r="C337" s="79" t="s">
        <v>134</v>
      </c>
      <c r="D337" s="98">
        <v>275.02</v>
      </c>
    </row>
    <row r="338" spans="1:5" x14ac:dyDescent="0.25">
      <c r="A338" s="80" t="s">
        <v>216</v>
      </c>
      <c r="B338" s="99"/>
      <c r="C338" s="85"/>
      <c r="D338" s="100"/>
    </row>
    <row r="339" spans="1:5" x14ac:dyDescent="0.25">
      <c r="A339" s="84" t="s">
        <v>226</v>
      </c>
      <c r="B339" s="99"/>
      <c r="C339" s="85" t="s">
        <v>221</v>
      </c>
      <c r="D339" s="101"/>
    </row>
    <row r="340" spans="1:5" x14ac:dyDescent="0.25">
      <c r="A340" s="87" t="s">
        <v>126</v>
      </c>
      <c r="B340" s="102"/>
      <c r="C340" s="85" t="s">
        <v>138</v>
      </c>
      <c r="D340" s="103"/>
    </row>
    <row r="341" spans="1:5" x14ac:dyDescent="0.25">
      <c r="A341" s="87" t="s">
        <v>139</v>
      </c>
      <c r="B341" s="99"/>
      <c r="C341" s="85" t="s">
        <v>140</v>
      </c>
      <c r="D341" s="101"/>
    </row>
    <row r="342" spans="1:5" x14ac:dyDescent="0.25">
      <c r="A342" s="87" t="s">
        <v>227</v>
      </c>
      <c r="B342" s="99"/>
      <c r="C342" s="85" t="s">
        <v>129</v>
      </c>
      <c r="D342" s="101"/>
    </row>
    <row r="343" spans="1:5" x14ac:dyDescent="0.25">
      <c r="A343" s="268" t="s">
        <v>228</v>
      </c>
      <c r="B343" s="269"/>
      <c r="C343" s="270" t="s">
        <v>142</v>
      </c>
      <c r="D343" s="271"/>
    </row>
    <row r="344" spans="1:5" x14ac:dyDescent="0.25">
      <c r="A344" s="80" t="s">
        <v>144</v>
      </c>
      <c r="B344" s="81"/>
      <c r="C344" s="106"/>
      <c r="D344" s="107"/>
    </row>
    <row r="345" spans="1:5" x14ac:dyDescent="0.25">
      <c r="A345" s="84" t="s">
        <v>145</v>
      </c>
      <c r="B345" s="99"/>
      <c r="C345" s="85" t="s">
        <v>143</v>
      </c>
      <c r="D345" s="101"/>
    </row>
    <row r="346" spans="1:5" x14ac:dyDescent="0.25">
      <c r="A346" s="84" t="s">
        <v>219</v>
      </c>
      <c r="B346" s="99"/>
      <c r="C346" s="85" t="s">
        <v>220</v>
      </c>
      <c r="D346" s="101"/>
    </row>
    <row r="347" spans="1:5" x14ac:dyDescent="0.25">
      <c r="A347" s="84" t="s">
        <v>162</v>
      </c>
      <c r="B347" s="99"/>
      <c r="C347" s="85" t="s">
        <v>221</v>
      </c>
      <c r="D347" s="101"/>
      <c r="E347" s="229"/>
    </row>
    <row r="348" spans="1:5" x14ac:dyDescent="0.25">
      <c r="A348" s="87" t="s">
        <v>126</v>
      </c>
      <c r="B348" s="99"/>
      <c r="C348" s="85" t="s">
        <v>138</v>
      </c>
      <c r="D348" s="108"/>
      <c r="E348" s="229"/>
    </row>
    <row r="349" spans="1:5" x14ac:dyDescent="0.25">
      <c r="A349" s="219" t="s">
        <v>139</v>
      </c>
      <c r="B349" s="220"/>
      <c r="C349" s="221" t="s">
        <v>140</v>
      </c>
      <c r="D349" s="222">
        <f>D347*D348/10000</f>
        <v>0</v>
      </c>
      <c r="E349" s="229"/>
    </row>
    <row r="350" spans="1:5" x14ac:dyDescent="0.25">
      <c r="A350" s="224" t="s">
        <v>146</v>
      </c>
      <c r="B350" s="225"/>
      <c r="C350" s="226" t="s">
        <v>129</v>
      </c>
      <c r="D350" s="228"/>
      <c r="E350" s="229"/>
    </row>
    <row r="351" spans="1:5" x14ac:dyDescent="0.25">
      <c r="A351" s="87" t="s">
        <v>147</v>
      </c>
      <c r="B351" s="99"/>
      <c r="C351" s="85" t="s">
        <v>142</v>
      </c>
      <c r="D351" s="109"/>
      <c r="E351" s="229"/>
    </row>
    <row r="352" spans="1:5" x14ac:dyDescent="0.25">
      <c r="A352" s="87" t="s">
        <v>148</v>
      </c>
      <c r="B352" s="99"/>
      <c r="C352" s="85" t="s">
        <v>129</v>
      </c>
      <c r="D352" s="101">
        <v>0</v>
      </c>
      <c r="E352" s="229"/>
    </row>
    <row r="353" spans="1:5" x14ac:dyDescent="0.25">
      <c r="A353" s="87" t="s">
        <v>149</v>
      </c>
      <c r="B353" s="99"/>
      <c r="C353" s="85" t="s">
        <v>129</v>
      </c>
      <c r="D353" s="101">
        <v>0</v>
      </c>
      <c r="E353" s="229"/>
    </row>
    <row r="354" spans="1:5" x14ac:dyDescent="0.25">
      <c r="A354" s="104" t="s">
        <v>150</v>
      </c>
      <c r="B354" s="93"/>
      <c r="C354" s="82" t="s">
        <v>142</v>
      </c>
      <c r="D354" s="105"/>
      <c r="E354" s="229"/>
    </row>
    <row r="355" spans="1:5" x14ac:dyDescent="0.25">
      <c r="A355" s="80" t="s">
        <v>151</v>
      </c>
      <c r="B355" s="93"/>
      <c r="C355" s="82"/>
      <c r="D355" s="110"/>
      <c r="E355" s="229"/>
    </row>
    <row r="356" spans="1:5" x14ac:dyDescent="0.25">
      <c r="A356" s="84" t="s">
        <v>152</v>
      </c>
      <c r="B356" s="99"/>
      <c r="C356" s="85" t="s">
        <v>143</v>
      </c>
      <c r="D356" s="100"/>
      <c r="E356" s="229"/>
    </row>
    <row r="357" spans="1:5" x14ac:dyDescent="0.25">
      <c r="A357" s="84" t="s">
        <v>219</v>
      </c>
      <c r="B357" s="99"/>
      <c r="C357" s="85" t="s">
        <v>220</v>
      </c>
      <c r="D357" s="103"/>
      <c r="E357" s="229"/>
    </row>
    <row r="358" spans="1:5" x14ac:dyDescent="0.25">
      <c r="A358" s="84" t="s">
        <v>162</v>
      </c>
      <c r="B358" s="99"/>
      <c r="C358" s="85" t="s">
        <v>221</v>
      </c>
      <c r="D358" s="101">
        <f>D356*D357/1000</f>
        <v>0</v>
      </c>
      <c r="E358" s="229"/>
    </row>
    <row r="359" spans="1:5" x14ac:dyDescent="0.25">
      <c r="A359" s="87" t="s">
        <v>126</v>
      </c>
      <c r="B359" s="99"/>
      <c r="C359" s="85" t="s">
        <v>138</v>
      </c>
      <c r="D359" s="108"/>
      <c r="E359" s="229"/>
    </row>
    <row r="360" spans="1:5" x14ac:dyDescent="0.25">
      <c r="A360" s="219" t="s">
        <v>139</v>
      </c>
      <c r="B360" s="220"/>
      <c r="C360" s="221" t="s">
        <v>140</v>
      </c>
      <c r="D360" s="222"/>
      <c r="E360" s="229"/>
    </row>
    <row r="361" spans="1:5" x14ac:dyDescent="0.25">
      <c r="A361" s="87" t="s">
        <v>153</v>
      </c>
      <c r="B361" s="99"/>
      <c r="C361" s="85" t="s">
        <v>129</v>
      </c>
      <c r="D361" s="293"/>
      <c r="E361" s="229"/>
    </row>
    <row r="362" spans="1:5" x14ac:dyDescent="0.25">
      <c r="A362" s="87" t="s">
        <v>148</v>
      </c>
      <c r="B362" s="99"/>
      <c r="C362" s="85" t="s">
        <v>129</v>
      </c>
      <c r="D362" s="293"/>
      <c r="E362" s="229"/>
    </row>
    <row r="363" spans="1:5" x14ac:dyDescent="0.25">
      <c r="A363" s="272" t="s">
        <v>222</v>
      </c>
      <c r="B363" s="273"/>
      <c r="C363" s="274" t="s">
        <v>129</v>
      </c>
      <c r="D363" s="294"/>
      <c r="E363" s="229"/>
    </row>
    <row r="364" spans="1:5" x14ac:dyDescent="0.25">
      <c r="A364" s="275" t="s">
        <v>154</v>
      </c>
      <c r="B364" s="276"/>
      <c r="C364" s="277" t="s">
        <v>142</v>
      </c>
      <c r="D364" s="267"/>
      <c r="E364" s="229"/>
    </row>
    <row r="365" spans="1:5" x14ac:dyDescent="0.25">
      <c r="A365" s="80" t="s">
        <v>246</v>
      </c>
      <c r="B365" s="99"/>
      <c r="C365" s="85"/>
      <c r="D365" s="109"/>
      <c r="E365" s="229"/>
    </row>
    <row r="366" spans="1:5" x14ac:dyDescent="0.25">
      <c r="A366" s="84" t="s">
        <v>247</v>
      </c>
      <c r="B366" s="99"/>
      <c r="C366" s="85" t="s">
        <v>221</v>
      </c>
      <c r="D366" s="101">
        <v>6.93</v>
      </c>
      <c r="E366" s="229"/>
    </row>
    <row r="367" spans="1:5" x14ac:dyDescent="0.25">
      <c r="A367" s="87" t="s">
        <v>126</v>
      </c>
      <c r="B367" s="99"/>
      <c r="C367" s="85" t="s">
        <v>138</v>
      </c>
      <c r="D367" s="108">
        <v>4507</v>
      </c>
      <c r="E367" s="229"/>
    </row>
    <row r="368" spans="1:5" x14ac:dyDescent="0.25">
      <c r="A368" s="87" t="s">
        <v>139</v>
      </c>
      <c r="B368" s="99"/>
      <c r="C368" s="85" t="s">
        <v>140</v>
      </c>
      <c r="D368" s="101">
        <f>D366*D367/10000</f>
        <v>3.123351</v>
      </c>
      <c r="E368" s="229"/>
    </row>
    <row r="369" spans="1:5" x14ac:dyDescent="0.25">
      <c r="A369" s="87" t="s">
        <v>248</v>
      </c>
      <c r="B369" s="99"/>
      <c r="C369" s="85" t="s">
        <v>129</v>
      </c>
      <c r="D369" s="101">
        <f>4.2273</f>
        <v>4.2272999999999996</v>
      </c>
      <c r="E369" s="229"/>
    </row>
    <row r="370" spans="1:5" x14ac:dyDescent="0.25">
      <c r="A370" s="278" t="s">
        <v>158</v>
      </c>
      <c r="B370" s="279"/>
      <c r="C370" s="280" t="s">
        <v>142</v>
      </c>
      <c r="D370" s="281">
        <f>D369*1000/D368</f>
        <v>1353.4501885955178</v>
      </c>
      <c r="E370" s="229"/>
    </row>
    <row r="371" spans="1:5" x14ac:dyDescent="0.25">
      <c r="A371" s="111" t="s">
        <v>159</v>
      </c>
      <c r="B371" s="112"/>
      <c r="C371" s="113" t="s">
        <v>142</v>
      </c>
      <c r="D371" s="114"/>
      <c r="E371" s="229"/>
    </row>
    <row r="372" spans="1:5" x14ac:dyDescent="0.25">
      <c r="A372" s="111" t="s">
        <v>160</v>
      </c>
      <c r="B372" s="112"/>
      <c r="C372" s="113" t="s">
        <v>142</v>
      </c>
      <c r="D372" s="114"/>
      <c r="E372" s="229"/>
    </row>
    <row r="373" spans="1:5" x14ac:dyDescent="0.25">
      <c r="A373" s="80" t="s">
        <v>161</v>
      </c>
      <c r="B373" s="81"/>
      <c r="C373" s="115"/>
      <c r="D373" s="116"/>
      <c r="E373" s="229"/>
    </row>
    <row r="374" spans="1:5" x14ac:dyDescent="0.25">
      <c r="A374" s="87" t="s">
        <v>162</v>
      </c>
      <c r="B374" s="81"/>
      <c r="C374" s="85" t="s">
        <v>98</v>
      </c>
      <c r="D374" s="117"/>
      <c r="E374" s="229"/>
    </row>
    <row r="375" spans="1:5" x14ac:dyDescent="0.25">
      <c r="A375" s="87" t="s">
        <v>163</v>
      </c>
      <c r="B375" s="81"/>
      <c r="C375" s="85" t="s">
        <v>129</v>
      </c>
      <c r="D375" s="117"/>
      <c r="E375" s="229"/>
    </row>
    <row r="376" spans="1:5" x14ac:dyDescent="0.25">
      <c r="A376" s="118" t="s">
        <v>164</v>
      </c>
      <c r="B376" s="119"/>
      <c r="C376" s="120" t="s">
        <v>59</v>
      </c>
      <c r="D376" s="121"/>
      <c r="E376" s="229"/>
    </row>
    <row r="377" spans="1:5" x14ac:dyDescent="0.25">
      <c r="A377" s="84" t="s">
        <v>165</v>
      </c>
      <c r="B377" s="99"/>
      <c r="C377" s="85" t="s">
        <v>137</v>
      </c>
      <c r="D377" s="86"/>
      <c r="E377" s="229"/>
    </row>
    <row r="378" spans="1:5" x14ac:dyDescent="0.25">
      <c r="A378" s="87" t="s">
        <v>126</v>
      </c>
      <c r="B378" s="99"/>
      <c r="C378" s="85" t="s">
        <v>138</v>
      </c>
      <c r="D378" s="116"/>
      <c r="E378" s="229"/>
    </row>
    <row r="379" spans="1:5" x14ac:dyDescent="0.25">
      <c r="A379" s="87" t="s">
        <v>139</v>
      </c>
      <c r="B379" s="99"/>
      <c r="C379" s="85" t="s">
        <v>140</v>
      </c>
      <c r="D379" s="86">
        <f>D377*D378/10000</f>
        <v>0</v>
      </c>
      <c r="E379" s="229"/>
    </row>
    <row r="380" spans="1:5" x14ac:dyDescent="0.25">
      <c r="A380" s="87" t="s">
        <v>141</v>
      </c>
      <c r="B380" s="99"/>
      <c r="C380" s="85" t="s">
        <v>129</v>
      </c>
      <c r="D380" s="86"/>
      <c r="E380" s="229"/>
    </row>
    <row r="381" spans="1:5" x14ac:dyDescent="0.25">
      <c r="A381" s="87" t="s">
        <v>166</v>
      </c>
      <c r="B381" s="99"/>
      <c r="C381" s="85" t="s">
        <v>142</v>
      </c>
      <c r="D381" s="94"/>
      <c r="E381" s="229"/>
    </row>
    <row r="382" spans="1:5" x14ac:dyDescent="0.25">
      <c r="E382" s="229"/>
    </row>
    <row r="383" spans="1:5" x14ac:dyDescent="0.25">
      <c r="A383" t="s">
        <v>189</v>
      </c>
      <c r="D383" s="184" t="s">
        <v>190</v>
      </c>
    </row>
    <row r="384" spans="1:5" x14ac:dyDescent="0.25">
      <c r="A384" s="911" t="s">
        <v>223</v>
      </c>
      <c r="B384" s="911"/>
      <c r="C384" s="911"/>
      <c r="D384" s="911"/>
      <c r="E384" s="911"/>
    </row>
    <row r="385" spans="1:5" x14ac:dyDescent="0.25">
      <c r="A385" s="912" t="s">
        <v>224</v>
      </c>
      <c r="B385" s="912"/>
      <c r="C385" s="912"/>
      <c r="D385" s="912"/>
      <c r="E385" s="912"/>
    </row>
    <row r="386" spans="1:5" x14ac:dyDescent="0.25">
      <c r="A386" s="304"/>
      <c r="B386" s="304"/>
      <c r="C386" s="304"/>
      <c r="D386" s="304"/>
      <c r="E386" s="304"/>
    </row>
    <row r="387" spans="1:5" ht="15.75" x14ac:dyDescent="0.25">
      <c r="B387" s="910" t="s">
        <v>264</v>
      </c>
      <c r="C387" s="910"/>
      <c r="D387" s="910"/>
      <c r="E387" s="910"/>
    </row>
    <row r="388" spans="1:5" ht="15.75" x14ac:dyDescent="0.25">
      <c r="B388" s="305"/>
      <c r="C388" s="305"/>
      <c r="D388" s="305"/>
      <c r="E388" s="305"/>
    </row>
    <row r="389" spans="1:5" x14ac:dyDescent="0.25">
      <c r="A389" s="77"/>
      <c r="B389" s="78"/>
      <c r="C389" s="79" t="s">
        <v>122</v>
      </c>
      <c r="D389" s="79" t="s">
        <v>123</v>
      </c>
    </row>
    <row r="390" spans="1:5" x14ac:dyDescent="0.25">
      <c r="A390" s="80" t="s">
        <v>24</v>
      </c>
      <c r="B390" s="81"/>
      <c r="C390" s="82"/>
      <c r="D390" s="83"/>
    </row>
    <row r="391" spans="1:5" x14ac:dyDescent="0.25">
      <c r="A391" s="84" t="s">
        <v>124</v>
      </c>
      <c r="B391" s="81"/>
      <c r="C391" s="85" t="s">
        <v>125</v>
      </c>
      <c r="D391" s="86">
        <v>558</v>
      </c>
    </row>
    <row r="392" spans="1:5" x14ac:dyDescent="0.25">
      <c r="A392" s="87" t="s">
        <v>126</v>
      </c>
      <c r="B392" s="81"/>
      <c r="C392" s="85" t="s">
        <v>127</v>
      </c>
      <c r="D392" s="88">
        <v>8046</v>
      </c>
    </row>
    <row r="393" spans="1:5" x14ac:dyDescent="0.25">
      <c r="A393" s="87" t="s">
        <v>128</v>
      </c>
      <c r="B393" s="81"/>
      <c r="C393" s="85" t="s">
        <v>129</v>
      </c>
      <c r="D393" s="86">
        <v>676.19069999999999</v>
      </c>
    </row>
    <row r="394" spans="1:5" x14ac:dyDescent="0.25">
      <c r="A394" s="87" t="s">
        <v>130</v>
      </c>
      <c r="B394" s="81"/>
      <c r="C394" s="85" t="s">
        <v>129</v>
      </c>
      <c r="D394" s="86">
        <v>20.941739999999999</v>
      </c>
    </row>
    <row r="395" spans="1:5" x14ac:dyDescent="0.25">
      <c r="A395" s="89" t="s">
        <v>131</v>
      </c>
      <c r="B395" s="90"/>
      <c r="C395" s="91" t="s">
        <v>132</v>
      </c>
      <c r="D395" s="92">
        <f>D396+D398+D397</f>
        <v>1524.3612903225805</v>
      </c>
    </row>
    <row r="396" spans="1:5" x14ac:dyDescent="0.25">
      <c r="A396" s="87" t="s">
        <v>133</v>
      </c>
      <c r="B396" s="93"/>
      <c r="C396" s="85" t="s">
        <v>134</v>
      </c>
      <c r="D396" s="94">
        <f>D393/D391*1000</f>
        <v>1211.8112903225806</v>
      </c>
    </row>
    <row r="397" spans="1:5" x14ac:dyDescent="0.25">
      <c r="A397" s="95" t="s">
        <v>135</v>
      </c>
      <c r="B397" s="96"/>
      <c r="C397" s="85" t="s">
        <v>134</v>
      </c>
      <c r="D397" s="94">
        <f>D394/D391*1000</f>
        <v>37.53</v>
      </c>
    </row>
    <row r="398" spans="1:5" x14ac:dyDescent="0.25">
      <c r="A398" s="95" t="s">
        <v>136</v>
      </c>
      <c r="B398" s="97"/>
      <c r="C398" s="79" t="s">
        <v>134</v>
      </c>
      <c r="D398" s="98">
        <v>275.02</v>
      </c>
    </row>
    <row r="399" spans="1:5" x14ac:dyDescent="0.25">
      <c r="A399" s="80" t="s">
        <v>216</v>
      </c>
      <c r="B399" s="99"/>
      <c r="C399" s="85"/>
      <c r="D399" s="100"/>
    </row>
    <row r="400" spans="1:5" x14ac:dyDescent="0.25">
      <c r="A400" s="84" t="s">
        <v>226</v>
      </c>
      <c r="B400" s="99"/>
      <c r="C400" s="85" t="s">
        <v>221</v>
      </c>
      <c r="D400" s="101">
        <v>160.38</v>
      </c>
    </row>
    <row r="401" spans="1:5" x14ac:dyDescent="0.25">
      <c r="A401" s="87" t="s">
        <v>126</v>
      </c>
      <c r="B401" s="102"/>
      <c r="C401" s="85" t="s">
        <v>138</v>
      </c>
      <c r="D401" s="103">
        <v>5623</v>
      </c>
    </row>
    <row r="402" spans="1:5" x14ac:dyDescent="0.25">
      <c r="A402" s="87" t="s">
        <v>139</v>
      </c>
      <c r="B402" s="99"/>
      <c r="C402" s="85" t="s">
        <v>140</v>
      </c>
      <c r="D402" s="101">
        <f>D400*D401/10000</f>
        <v>90.181674000000001</v>
      </c>
    </row>
    <row r="403" spans="1:5" x14ac:dyDescent="0.25">
      <c r="A403" s="87" t="s">
        <v>227</v>
      </c>
      <c r="B403" s="99"/>
      <c r="C403" s="85" t="s">
        <v>129</v>
      </c>
      <c r="D403" s="101">
        <v>72.900729999999996</v>
      </c>
    </row>
    <row r="404" spans="1:5" x14ac:dyDescent="0.25">
      <c r="A404" s="268" t="s">
        <v>228</v>
      </c>
      <c r="B404" s="269"/>
      <c r="C404" s="270" t="s">
        <v>142</v>
      </c>
      <c r="D404" s="271">
        <f>D403/D402*1000</f>
        <v>808.37632266617709</v>
      </c>
    </row>
    <row r="405" spans="1:5" x14ac:dyDescent="0.25">
      <c r="A405" s="80" t="s">
        <v>144</v>
      </c>
      <c r="B405" s="81"/>
      <c r="C405" s="106"/>
      <c r="D405" s="107"/>
    </row>
    <row r="406" spans="1:5" x14ac:dyDescent="0.25">
      <c r="A406" s="84" t="s">
        <v>145</v>
      </c>
      <c r="B406" s="99"/>
      <c r="C406" s="85" t="s">
        <v>143</v>
      </c>
      <c r="D406" s="101"/>
    </row>
    <row r="407" spans="1:5" x14ac:dyDescent="0.25">
      <c r="A407" s="84" t="s">
        <v>219</v>
      </c>
      <c r="B407" s="99"/>
      <c r="C407" s="85" t="s">
        <v>220</v>
      </c>
      <c r="D407" s="101"/>
    </row>
    <row r="408" spans="1:5" x14ac:dyDescent="0.25">
      <c r="A408" s="84" t="s">
        <v>162</v>
      </c>
      <c r="B408" s="99"/>
      <c r="C408" s="85" t="s">
        <v>221</v>
      </c>
      <c r="D408" s="101"/>
      <c r="E408" s="229"/>
    </row>
    <row r="409" spans="1:5" x14ac:dyDescent="0.25">
      <c r="A409" s="87" t="s">
        <v>126</v>
      </c>
      <c r="B409" s="99"/>
      <c r="C409" s="85" t="s">
        <v>138</v>
      </c>
      <c r="D409" s="108"/>
      <c r="E409" s="229"/>
    </row>
    <row r="410" spans="1:5" x14ac:dyDescent="0.25">
      <c r="A410" s="219" t="s">
        <v>139</v>
      </c>
      <c r="B410" s="220"/>
      <c r="C410" s="221" t="s">
        <v>140</v>
      </c>
      <c r="D410" s="222">
        <f>D408*D409/10000</f>
        <v>0</v>
      </c>
      <c r="E410" s="229"/>
    </row>
    <row r="411" spans="1:5" x14ac:dyDescent="0.25">
      <c r="A411" s="224" t="s">
        <v>146</v>
      </c>
      <c r="B411" s="225"/>
      <c r="C411" s="226" t="s">
        <v>129</v>
      </c>
      <c r="D411" s="228"/>
      <c r="E411" s="229"/>
    </row>
    <row r="412" spans="1:5" x14ac:dyDescent="0.25">
      <c r="A412" s="87" t="s">
        <v>147</v>
      </c>
      <c r="B412" s="99"/>
      <c r="C412" s="85" t="s">
        <v>142</v>
      </c>
      <c r="D412" s="109"/>
      <c r="E412" s="229"/>
    </row>
    <row r="413" spans="1:5" x14ac:dyDescent="0.25">
      <c r="A413" s="87" t="s">
        <v>148</v>
      </c>
      <c r="B413" s="99"/>
      <c r="C413" s="85" t="s">
        <v>129</v>
      </c>
      <c r="D413" s="101">
        <v>0</v>
      </c>
      <c r="E413" s="229"/>
    </row>
    <row r="414" spans="1:5" x14ac:dyDescent="0.25">
      <c r="A414" s="87" t="s">
        <v>149</v>
      </c>
      <c r="B414" s="99"/>
      <c r="C414" s="85" t="s">
        <v>129</v>
      </c>
      <c r="D414" s="101">
        <v>0</v>
      </c>
      <c r="E414" s="229"/>
    </row>
    <row r="415" spans="1:5" x14ac:dyDescent="0.25">
      <c r="A415" s="104" t="s">
        <v>150</v>
      </c>
      <c r="B415" s="93"/>
      <c r="C415" s="82" t="s">
        <v>142</v>
      </c>
      <c r="D415" s="105"/>
      <c r="E415" s="229"/>
    </row>
    <row r="416" spans="1:5" x14ac:dyDescent="0.25">
      <c r="A416" s="80" t="s">
        <v>151</v>
      </c>
      <c r="B416" s="93"/>
      <c r="C416" s="82"/>
      <c r="D416" s="110"/>
      <c r="E416" s="229"/>
    </row>
    <row r="417" spans="1:5" x14ac:dyDescent="0.25">
      <c r="A417" s="84" t="s">
        <v>152</v>
      </c>
      <c r="B417" s="99"/>
      <c r="C417" s="85" t="s">
        <v>143</v>
      </c>
      <c r="D417" s="100"/>
      <c r="E417" s="229"/>
    </row>
    <row r="418" spans="1:5" x14ac:dyDescent="0.25">
      <c r="A418" s="84" t="s">
        <v>219</v>
      </c>
      <c r="B418" s="99"/>
      <c r="C418" s="85" t="s">
        <v>220</v>
      </c>
      <c r="D418" s="103"/>
      <c r="E418" s="229"/>
    </row>
    <row r="419" spans="1:5" x14ac:dyDescent="0.25">
      <c r="A419" s="84" t="s">
        <v>162</v>
      </c>
      <c r="B419" s="99"/>
      <c r="C419" s="85" t="s">
        <v>221</v>
      </c>
      <c r="D419" s="101">
        <f>D417*D418/1000</f>
        <v>0</v>
      </c>
      <c r="E419" s="229"/>
    </row>
    <row r="420" spans="1:5" x14ac:dyDescent="0.25">
      <c r="A420" s="87" t="s">
        <v>126</v>
      </c>
      <c r="B420" s="99"/>
      <c r="C420" s="85" t="s">
        <v>138</v>
      </c>
      <c r="D420" s="108"/>
      <c r="E420" s="229"/>
    </row>
    <row r="421" spans="1:5" x14ac:dyDescent="0.25">
      <c r="A421" s="219" t="s">
        <v>139</v>
      </c>
      <c r="B421" s="220"/>
      <c r="C421" s="221" t="s">
        <v>140</v>
      </c>
      <c r="D421" s="222"/>
      <c r="E421" s="229"/>
    </row>
    <row r="422" spans="1:5" x14ac:dyDescent="0.25">
      <c r="A422" s="87" t="s">
        <v>153</v>
      </c>
      <c r="B422" s="99"/>
      <c r="C422" s="85" t="s">
        <v>129</v>
      </c>
      <c r="D422" s="293"/>
      <c r="E422" s="229"/>
    </row>
    <row r="423" spans="1:5" x14ac:dyDescent="0.25">
      <c r="A423" s="87" t="s">
        <v>148</v>
      </c>
      <c r="B423" s="99"/>
      <c r="C423" s="85" t="s">
        <v>129</v>
      </c>
      <c r="D423" s="293"/>
      <c r="E423" s="229"/>
    </row>
    <row r="424" spans="1:5" x14ac:dyDescent="0.25">
      <c r="A424" s="272" t="s">
        <v>222</v>
      </c>
      <c r="B424" s="273"/>
      <c r="C424" s="274" t="s">
        <v>129</v>
      </c>
      <c r="D424" s="294"/>
      <c r="E424" s="229"/>
    </row>
    <row r="425" spans="1:5" x14ac:dyDescent="0.25">
      <c r="A425" s="275" t="s">
        <v>154</v>
      </c>
      <c r="B425" s="276"/>
      <c r="C425" s="277" t="s">
        <v>142</v>
      </c>
      <c r="D425" s="267"/>
      <c r="E425" s="229"/>
    </row>
    <row r="426" spans="1:5" x14ac:dyDescent="0.25">
      <c r="A426" s="80" t="s">
        <v>246</v>
      </c>
      <c r="B426" s="99"/>
      <c r="C426" s="85"/>
      <c r="D426" s="109"/>
      <c r="E426" s="229"/>
    </row>
    <row r="427" spans="1:5" x14ac:dyDescent="0.25">
      <c r="A427" s="84" t="s">
        <v>247</v>
      </c>
      <c r="B427" s="99"/>
      <c r="C427" s="85" t="s">
        <v>221</v>
      </c>
      <c r="D427" s="101">
        <v>7.92</v>
      </c>
      <c r="E427" s="229"/>
    </row>
    <row r="428" spans="1:5" x14ac:dyDescent="0.25">
      <c r="A428" s="87" t="s">
        <v>126</v>
      </c>
      <c r="B428" s="99"/>
      <c r="C428" s="85" t="s">
        <v>138</v>
      </c>
      <c r="D428" s="108">
        <v>4507</v>
      </c>
      <c r="E428" s="229"/>
    </row>
    <row r="429" spans="1:5" x14ac:dyDescent="0.25">
      <c r="A429" s="87" t="s">
        <v>139</v>
      </c>
      <c r="B429" s="99"/>
      <c r="C429" s="85" t="s">
        <v>140</v>
      </c>
      <c r="D429" s="101">
        <f>D427*D428/10000</f>
        <v>3.5695440000000001</v>
      </c>
      <c r="E429" s="229"/>
    </row>
    <row r="430" spans="1:5" x14ac:dyDescent="0.25">
      <c r="A430" s="87" t="s">
        <v>248</v>
      </c>
      <c r="B430" s="99"/>
      <c r="C430" s="85" t="s">
        <v>129</v>
      </c>
      <c r="D430" s="101">
        <v>4.8311999999999999</v>
      </c>
      <c r="E430" s="229"/>
    </row>
    <row r="431" spans="1:5" x14ac:dyDescent="0.25">
      <c r="A431" s="278" t="s">
        <v>263</v>
      </c>
      <c r="B431" s="279"/>
      <c r="C431" s="280" t="s">
        <v>142</v>
      </c>
      <c r="D431" s="281">
        <f>D430*1000/D429</f>
        <v>1353.4501885955181</v>
      </c>
      <c r="E431" s="229"/>
    </row>
    <row r="432" spans="1:5" x14ac:dyDescent="0.25">
      <c r="A432" s="111" t="s">
        <v>159</v>
      </c>
      <c r="B432" s="112"/>
      <c r="C432" s="113" t="s">
        <v>142</v>
      </c>
      <c r="D432" s="114"/>
      <c r="E432" s="229"/>
    </row>
    <row r="433" spans="1:5" x14ac:dyDescent="0.25">
      <c r="A433" s="111" t="s">
        <v>160</v>
      </c>
      <c r="B433" s="112"/>
      <c r="C433" s="113" t="s">
        <v>142</v>
      </c>
      <c r="D433" s="114"/>
      <c r="E433" s="229"/>
    </row>
    <row r="434" spans="1:5" x14ac:dyDescent="0.25">
      <c r="A434" s="80" t="s">
        <v>161</v>
      </c>
      <c r="B434" s="81"/>
      <c r="C434" s="115"/>
      <c r="D434" s="116"/>
      <c r="E434" s="229"/>
    </row>
    <row r="435" spans="1:5" x14ac:dyDescent="0.25">
      <c r="A435" s="87" t="s">
        <v>162</v>
      </c>
      <c r="B435" s="81"/>
      <c r="C435" s="85" t="s">
        <v>98</v>
      </c>
      <c r="D435" s="117"/>
      <c r="E435" s="229"/>
    </row>
    <row r="436" spans="1:5" x14ac:dyDescent="0.25">
      <c r="A436" s="87" t="s">
        <v>163</v>
      </c>
      <c r="B436" s="81"/>
      <c r="C436" s="85" t="s">
        <v>129</v>
      </c>
      <c r="D436" s="117"/>
      <c r="E436" s="229"/>
    </row>
    <row r="437" spans="1:5" x14ac:dyDescent="0.25">
      <c r="A437" s="118" t="s">
        <v>164</v>
      </c>
      <c r="B437" s="119"/>
      <c r="C437" s="120" t="s">
        <v>59</v>
      </c>
      <c r="D437" s="121"/>
      <c r="E437" s="229"/>
    </row>
    <row r="438" spans="1:5" x14ac:dyDescent="0.25">
      <c r="A438" s="84" t="s">
        <v>165</v>
      </c>
      <c r="B438" s="99"/>
      <c r="C438" s="85" t="s">
        <v>137</v>
      </c>
      <c r="D438" s="86"/>
      <c r="E438" s="229"/>
    </row>
    <row r="439" spans="1:5" x14ac:dyDescent="0.25">
      <c r="A439" s="87" t="s">
        <v>126</v>
      </c>
      <c r="B439" s="99"/>
      <c r="C439" s="85" t="s">
        <v>138</v>
      </c>
      <c r="D439" s="116"/>
      <c r="E439" s="229"/>
    </row>
    <row r="440" spans="1:5" x14ac:dyDescent="0.25">
      <c r="A440" s="87" t="s">
        <v>139</v>
      </c>
      <c r="B440" s="99"/>
      <c r="C440" s="85" t="s">
        <v>140</v>
      </c>
      <c r="D440" s="86">
        <f>D438*D439/10000</f>
        <v>0</v>
      </c>
      <c r="E440" s="229"/>
    </row>
    <row r="441" spans="1:5" x14ac:dyDescent="0.25">
      <c r="A441" s="87" t="s">
        <v>141</v>
      </c>
      <c r="B441" s="99"/>
      <c r="C441" s="85" t="s">
        <v>129</v>
      </c>
      <c r="D441" s="86"/>
      <c r="E441" s="229"/>
    </row>
    <row r="442" spans="1:5" x14ac:dyDescent="0.25">
      <c r="A442" s="87" t="s">
        <v>166</v>
      </c>
      <c r="B442" s="99"/>
      <c r="C442" s="85" t="s">
        <v>142</v>
      </c>
      <c r="D442" s="94"/>
      <c r="E442" s="229"/>
    </row>
    <row r="443" spans="1:5" x14ac:dyDescent="0.25">
      <c r="E443" s="229"/>
    </row>
    <row r="445" spans="1:5" x14ac:dyDescent="0.25">
      <c r="A445" t="s">
        <v>189</v>
      </c>
      <c r="D445" s="184" t="s">
        <v>190</v>
      </c>
    </row>
    <row r="466" spans="1:5" x14ac:dyDescent="0.25">
      <c r="A466" s="911" t="s">
        <v>223</v>
      </c>
      <c r="B466" s="911"/>
      <c r="C466" s="911"/>
      <c r="D466" s="911"/>
      <c r="E466" s="911"/>
    </row>
    <row r="467" spans="1:5" x14ac:dyDescent="0.25">
      <c r="A467" s="912" t="s">
        <v>224</v>
      </c>
      <c r="B467" s="912"/>
      <c r="C467" s="912"/>
      <c r="D467" s="912"/>
      <c r="E467" s="912"/>
    </row>
    <row r="468" spans="1:5" x14ac:dyDescent="0.25">
      <c r="A468" s="320"/>
      <c r="B468" s="320"/>
      <c r="C468" s="320"/>
      <c r="D468" s="320"/>
      <c r="E468" s="320"/>
    </row>
    <row r="469" spans="1:5" ht="15.75" x14ac:dyDescent="0.25">
      <c r="B469" s="913" t="s">
        <v>269</v>
      </c>
      <c r="C469" s="913"/>
      <c r="D469" s="913"/>
      <c r="E469" s="913"/>
    </row>
    <row r="470" spans="1:5" ht="15.75" x14ac:dyDescent="0.25">
      <c r="B470" s="321"/>
      <c r="C470" s="321"/>
      <c r="D470" s="321"/>
      <c r="E470" s="321"/>
    </row>
    <row r="471" spans="1:5" x14ac:dyDescent="0.25">
      <c r="A471" s="77"/>
      <c r="B471" s="78"/>
      <c r="C471" s="79" t="s">
        <v>122</v>
      </c>
      <c r="D471" s="79" t="s">
        <v>123</v>
      </c>
    </row>
    <row r="472" spans="1:5" x14ac:dyDescent="0.25">
      <c r="A472" s="80" t="s">
        <v>24</v>
      </c>
      <c r="B472" s="81"/>
      <c r="C472" s="82"/>
      <c r="D472" s="83"/>
    </row>
    <row r="473" spans="1:5" x14ac:dyDescent="0.25">
      <c r="A473" s="84" t="s">
        <v>124</v>
      </c>
      <c r="B473" s="81"/>
      <c r="C473" s="85" t="s">
        <v>125</v>
      </c>
      <c r="D473" s="86">
        <v>773.78300000000002</v>
      </c>
    </row>
    <row r="474" spans="1:5" x14ac:dyDescent="0.25">
      <c r="A474" s="87" t="s">
        <v>126</v>
      </c>
      <c r="B474" s="81"/>
      <c r="C474" s="85" t="s">
        <v>127</v>
      </c>
      <c r="D474" s="88">
        <v>8037</v>
      </c>
    </row>
    <row r="475" spans="1:5" x14ac:dyDescent="0.25">
      <c r="A475" s="87" t="s">
        <v>128</v>
      </c>
      <c r="B475" s="81"/>
      <c r="C475" s="85" t="s">
        <v>129</v>
      </c>
      <c r="D475" s="86">
        <v>958.40761999999995</v>
      </c>
    </row>
    <row r="476" spans="1:5" x14ac:dyDescent="0.25">
      <c r="A476" s="87" t="s">
        <v>130</v>
      </c>
      <c r="B476" s="81"/>
      <c r="C476" s="85" t="s">
        <v>129</v>
      </c>
      <c r="D476" s="86">
        <v>0</v>
      </c>
    </row>
    <row r="477" spans="1:5" x14ac:dyDescent="0.25">
      <c r="A477" s="89" t="s">
        <v>131</v>
      </c>
      <c r="B477" s="90"/>
      <c r="C477" s="91" t="s">
        <v>132</v>
      </c>
      <c r="D477" s="92">
        <f>D478+D480+D479</f>
        <v>1551.8299950890623</v>
      </c>
    </row>
    <row r="478" spans="1:5" x14ac:dyDescent="0.25">
      <c r="A478" s="87" t="s">
        <v>133</v>
      </c>
      <c r="B478" s="93"/>
      <c r="C478" s="85" t="s">
        <v>134</v>
      </c>
      <c r="D478" s="94">
        <f>D475/D473*1000</f>
        <v>1238.5999950890623</v>
      </c>
    </row>
    <row r="479" spans="1:5" x14ac:dyDescent="0.25">
      <c r="A479" s="95" t="s">
        <v>135</v>
      </c>
      <c r="B479" s="96"/>
      <c r="C479" s="85" t="s">
        <v>134</v>
      </c>
      <c r="D479" s="94"/>
    </row>
    <row r="480" spans="1:5" x14ac:dyDescent="0.25">
      <c r="A480" s="95" t="s">
        <v>136</v>
      </c>
      <c r="B480" s="97"/>
      <c r="C480" s="79" t="s">
        <v>134</v>
      </c>
      <c r="D480" s="98">
        <v>313.23</v>
      </c>
    </row>
    <row r="481" spans="1:4" x14ac:dyDescent="0.25">
      <c r="A481" s="80" t="s">
        <v>216</v>
      </c>
      <c r="B481" s="99"/>
      <c r="C481" s="85"/>
      <c r="D481" s="100"/>
    </row>
    <row r="482" spans="1:4" x14ac:dyDescent="0.25">
      <c r="A482" s="84" t="s">
        <v>226</v>
      </c>
      <c r="B482" s="99"/>
      <c r="C482" s="85" t="s">
        <v>221</v>
      </c>
      <c r="D482" s="101">
        <v>118.2</v>
      </c>
    </row>
    <row r="483" spans="1:4" x14ac:dyDescent="0.25">
      <c r="A483" s="87" t="s">
        <v>126</v>
      </c>
      <c r="B483" s="102"/>
      <c r="C483" s="85" t="s">
        <v>138</v>
      </c>
      <c r="D483" s="103">
        <v>5623</v>
      </c>
    </row>
    <row r="484" spans="1:4" x14ac:dyDescent="0.25">
      <c r="A484" s="87" t="s">
        <v>139</v>
      </c>
      <c r="B484" s="99"/>
      <c r="C484" s="85" t="s">
        <v>140</v>
      </c>
      <c r="D484" s="101">
        <f>D482*D483/10000</f>
        <v>66.463859999999997</v>
      </c>
    </row>
    <row r="485" spans="1:4" x14ac:dyDescent="0.25">
      <c r="A485" s="87" t="s">
        <v>227</v>
      </c>
      <c r="B485" s="99"/>
      <c r="C485" s="85" t="s">
        <v>129</v>
      </c>
      <c r="D485" s="101">
        <v>53.727809999999998</v>
      </c>
    </row>
    <row r="486" spans="1:4" x14ac:dyDescent="0.25">
      <c r="A486" s="268" t="s">
        <v>228</v>
      </c>
      <c r="B486" s="269"/>
      <c r="C486" s="270" t="s">
        <v>142</v>
      </c>
      <c r="D486" s="271">
        <f>D485/D484*1000</f>
        <v>808.37631157744977</v>
      </c>
    </row>
    <row r="487" spans="1:4" x14ac:dyDescent="0.25">
      <c r="A487" s="80" t="s">
        <v>246</v>
      </c>
      <c r="B487" s="99"/>
      <c r="C487" s="85"/>
      <c r="D487" s="109"/>
    </row>
    <row r="488" spans="1:4" x14ac:dyDescent="0.25">
      <c r="A488" s="84" t="s">
        <v>247</v>
      </c>
      <c r="B488" s="99"/>
      <c r="C488" s="85" t="s">
        <v>221</v>
      </c>
      <c r="D488" s="101">
        <v>12.285</v>
      </c>
    </row>
    <row r="489" spans="1:4" x14ac:dyDescent="0.25">
      <c r="A489" s="87" t="s">
        <v>126</v>
      </c>
      <c r="B489" s="99"/>
      <c r="C489" s="85" t="s">
        <v>138</v>
      </c>
      <c r="D489" s="108">
        <v>4507</v>
      </c>
    </row>
    <row r="490" spans="1:4" x14ac:dyDescent="0.25">
      <c r="A490" s="87" t="s">
        <v>139</v>
      </c>
      <c r="B490" s="99"/>
      <c r="C490" s="85" t="s">
        <v>140</v>
      </c>
      <c r="D490" s="101">
        <f>D488*D489/10000</f>
        <v>5.5368495000000006</v>
      </c>
    </row>
    <row r="491" spans="1:4" x14ac:dyDescent="0.25">
      <c r="A491" s="87" t="s">
        <v>248</v>
      </c>
      <c r="B491" s="99"/>
      <c r="C491" s="85" t="s">
        <v>129</v>
      </c>
      <c r="D491" s="101">
        <v>7.4938500000000001</v>
      </c>
    </row>
    <row r="492" spans="1:4" x14ac:dyDescent="0.25">
      <c r="A492" s="278" t="s">
        <v>263</v>
      </c>
      <c r="B492" s="279"/>
      <c r="C492" s="280" t="s">
        <v>142</v>
      </c>
      <c r="D492" s="281">
        <f>D491*1000/D490</f>
        <v>1353.4501885955181</v>
      </c>
    </row>
    <row r="496" spans="1:4" x14ac:dyDescent="0.25">
      <c r="A496" t="s">
        <v>189</v>
      </c>
      <c r="D496" s="184" t="s">
        <v>190</v>
      </c>
    </row>
    <row r="516" spans="1:5" x14ac:dyDescent="0.25">
      <c r="A516" s="911" t="s">
        <v>223</v>
      </c>
      <c r="B516" s="911"/>
      <c r="C516" s="911"/>
      <c r="D516" s="911"/>
      <c r="E516" s="911"/>
    </row>
    <row r="517" spans="1:5" x14ac:dyDescent="0.25">
      <c r="A517" s="912" t="s">
        <v>224</v>
      </c>
      <c r="B517" s="912"/>
      <c r="C517" s="912"/>
      <c r="D517" s="912"/>
      <c r="E517" s="912"/>
    </row>
    <row r="518" spans="1:5" x14ac:dyDescent="0.25">
      <c r="A518" s="323"/>
      <c r="B518" s="323"/>
      <c r="C518" s="323"/>
      <c r="D518" s="323"/>
      <c r="E518" s="323"/>
    </row>
    <row r="519" spans="1:5" ht="15.75" x14ac:dyDescent="0.25">
      <c r="B519" s="913" t="s">
        <v>272</v>
      </c>
      <c r="C519" s="913"/>
      <c r="D519" s="913"/>
      <c r="E519" s="913"/>
    </row>
    <row r="520" spans="1:5" ht="15.75" x14ac:dyDescent="0.25">
      <c r="B520" s="324"/>
      <c r="C520" s="324"/>
      <c r="D520" s="324"/>
      <c r="E520" s="324"/>
    </row>
    <row r="521" spans="1:5" x14ac:dyDescent="0.25">
      <c r="A521" s="77"/>
      <c r="B521" s="78"/>
      <c r="C521" s="79" t="s">
        <v>122</v>
      </c>
      <c r="D521" s="79" t="s">
        <v>123</v>
      </c>
    </row>
    <row r="522" spans="1:5" x14ac:dyDescent="0.25">
      <c r="A522" s="80" t="s">
        <v>24</v>
      </c>
      <c r="B522" s="81"/>
      <c r="C522" s="82"/>
      <c r="D522" s="83"/>
    </row>
    <row r="523" spans="1:5" x14ac:dyDescent="0.25">
      <c r="A523" s="84" t="s">
        <v>124</v>
      </c>
      <c r="B523" s="81"/>
      <c r="C523" s="85" t="s">
        <v>125</v>
      </c>
      <c r="D523" s="86">
        <v>546.19100000000003</v>
      </c>
    </row>
    <row r="524" spans="1:5" x14ac:dyDescent="0.25">
      <c r="A524" s="87" t="s">
        <v>126</v>
      </c>
      <c r="B524" s="81"/>
      <c r="C524" s="85" t="s">
        <v>127</v>
      </c>
      <c r="D524" s="88">
        <v>8046</v>
      </c>
    </row>
    <row r="525" spans="1:5" x14ac:dyDescent="0.25">
      <c r="A525" s="87" t="s">
        <v>128</v>
      </c>
      <c r="B525" s="81"/>
      <c r="C525" s="85" t="s">
        <v>129</v>
      </c>
      <c r="D525" s="86">
        <v>662.67169000000001</v>
      </c>
    </row>
    <row r="526" spans="1:5" x14ac:dyDescent="0.25">
      <c r="A526" s="87" t="s">
        <v>130</v>
      </c>
      <c r="B526" s="81"/>
      <c r="C526" s="85" t="s">
        <v>129</v>
      </c>
      <c r="D526" s="86">
        <v>0</v>
      </c>
    </row>
    <row r="527" spans="1:5" x14ac:dyDescent="0.25">
      <c r="A527" s="89" t="s">
        <v>131</v>
      </c>
      <c r="B527" s="90"/>
      <c r="C527" s="91" t="s">
        <v>132</v>
      </c>
      <c r="D527" s="92">
        <f>D528+D530+D529</f>
        <v>1526.4899951299087</v>
      </c>
    </row>
    <row r="528" spans="1:5" x14ac:dyDescent="0.25">
      <c r="A528" s="87" t="s">
        <v>133</v>
      </c>
      <c r="B528" s="93"/>
      <c r="C528" s="85" t="s">
        <v>134</v>
      </c>
      <c r="D528" s="94">
        <f>D525/D523*1000</f>
        <v>1213.2599951299087</v>
      </c>
    </row>
    <row r="529" spans="1:4" x14ac:dyDescent="0.25">
      <c r="A529" s="95" t="s">
        <v>135</v>
      </c>
      <c r="B529" s="96"/>
      <c r="C529" s="85" t="s">
        <v>134</v>
      </c>
      <c r="D529" s="94"/>
    </row>
    <row r="530" spans="1:4" x14ac:dyDescent="0.25">
      <c r="A530" s="95" t="s">
        <v>136</v>
      </c>
      <c r="B530" s="97"/>
      <c r="C530" s="79" t="s">
        <v>134</v>
      </c>
      <c r="D530" s="98">
        <v>313.23</v>
      </c>
    </row>
    <row r="531" spans="1:4" x14ac:dyDescent="0.25">
      <c r="A531" s="80" t="s">
        <v>216</v>
      </c>
      <c r="B531" s="99"/>
      <c r="C531" s="85"/>
      <c r="D531" s="100"/>
    </row>
    <row r="532" spans="1:4" x14ac:dyDescent="0.25">
      <c r="A532" s="84" t="s">
        <v>226</v>
      </c>
      <c r="B532" s="99"/>
      <c r="C532" s="85" t="s">
        <v>221</v>
      </c>
      <c r="D532" s="101">
        <v>103.28</v>
      </c>
    </row>
    <row r="533" spans="1:4" x14ac:dyDescent="0.25">
      <c r="A533" s="87" t="s">
        <v>126</v>
      </c>
      <c r="B533" s="102"/>
      <c r="C533" s="85" t="s">
        <v>138</v>
      </c>
      <c r="D533" s="103">
        <v>5623</v>
      </c>
    </row>
    <row r="534" spans="1:4" x14ac:dyDescent="0.25">
      <c r="A534" s="87" t="s">
        <v>139</v>
      </c>
      <c r="B534" s="99"/>
      <c r="C534" s="85" t="s">
        <v>140</v>
      </c>
      <c r="D534" s="101">
        <f>D532*D533/10000</f>
        <v>58.074344000000004</v>
      </c>
    </row>
    <row r="535" spans="1:4" x14ac:dyDescent="0.25">
      <c r="A535" s="87" t="s">
        <v>227</v>
      </c>
      <c r="B535" s="99"/>
      <c r="C535" s="85" t="s">
        <v>129</v>
      </c>
      <c r="D535" s="101">
        <v>46.945920000000001</v>
      </c>
    </row>
    <row r="536" spans="1:4" x14ac:dyDescent="0.25">
      <c r="A536" s="268" t="s">
        <v>228</v>
      </c>
      <c r="B536" s="269"/>
      <c r="C536" s="270" t="s">
        <v>142</v>
      </c>
      <c r="D536" s="271">
        <f>D535/D534*1000</f>
        <v>808.37624270021877</v>
      </c>
    </row>
    <row r="537" spans="1:4" x14ac:dyDescent="0.25">
      <c r="A537" s="80" t="s">
        <v>246</v>
      </c>
      <c r="B537" s="99"/>
      <c r="C537" s="85"/>
      <c r="D537" s="109"/>
    </row>
    <row r="538" spans="1:4" x14ac:dyDescent="0.25">
      <c r="A538" s="84" t="s">
        <v>247</v>
      </c>
      <c r="B538" s="99"/>
      <c r="C538" s="85" t="s">
        <v>221</v>
      </c>
      <c r="D538" s="101">
        <v>4.2</v>
      </c>
    </row>
    <row r="539" spans="1:4" x14ac:dyDescent="0.25">
      <c r="A539" s="87" t="s">
        <v>126</v>
      </c>
      <c r="B539" s="99"/>
      <c r="C539" s="85" t="s">
        <v>138</v>
      </c>
      <c r="D539" s="108">
        <v>4507</v>
      </c>
    </row>
    <row r="540" spans="1:4" x14ac:dyDescent="0.25">
      <c r="A540" s="87" t="s">
        <v>139</v>
      </c>
      <c r="B540" s="99"/>
      <c r="C540" s="85" t="s">
        <v>140</v>
      </c>
      <c r="D540" s="101">
        <f>D538*D539/10000</f>
        <v>1.8929400000000001</v>
      </c>
    </row>
    <row r="541" spans="1:4" x14ac:dyDescent="0.25">
      <c r="A541" s="87" t="s">
        <v>248</v>
      </c>
      <c r="B541" s="99"/>
      <c r="C541" s="85" t="s">
        <v>129</v>
      </c>
      <c r="D541" s="101">
        <v>2.5619999999999998</v>
      </c>
    </row>
    <row r="542" spans="1:4" x14ac:dyDescent="0.25">
      <c r="A542" s="278" t="s">
        <v>263</v>
      </c>
      <c r="B542" s="279"/>
      <c r="C542" s="280" t="s">
        <v>142</v>
      </c>
      <c r="D542" s="281">
        <f>D541*1000/D540</f>
        <v>1353.4501885955181</v>
      </c>
    </row>
    <row r="546" spans="1:4" x14ac:dyDescent="0.25">
      <c r="A546" t="s">
        <v>189</v>
      </c>
      <c r="D546" s="184" t="s">
        <v>190</v>
      </c>
    </row>
  </sheetData>
  <mergeCells count="27">
    <mergeCell ref="B326:E326"/>
    <mergeCell ref="A516:E516"/>
    <mergeCell ref="A517:E517"/>
    <mergeCell ref="A385:E385"/>
    <mergeCell ref="B519:E519"/>
    <mergeCell ref="A466:E466"/>
    <mergeCell ref="A467:E467"/>
    <mergeCell ref="B469:E469"/>
    <mergeCell ref="A384:E384"/>
    <mergeCell ref="B387:E387"/>
    <mergeCell ref="A121:E121"/>
    <mergeCell ref="A122:E122"/>
    <mergeCell ref="B124:E124"/>
    <mergeCell ref="A251:E251"/>
    <mergeCell ref="A324:E324"/>
    <mergeCell ref="A252:E252"/>
    <mergeCell ref="A187:E187"/>
    <mergeCell ref="A323:E323"/>
    <mergeCell ref="B254:E254"/>
    <mergeCell ref="A186:E186"/>
    <mergeCell ref="B189:E189"/>
    <mergeCell ref="B64:E64"/>
    <mergeCell ref="A1:E1"/>
    <mergeCell ref="A2:E2"/>
    <mergeCell ref="B4:E4"/>
    <mergeCell ref="A61:E61"/>
    <mergeCell ref="A62:E62"/>
  </mergeCells>
  <pageMargins left="1.1811023622047245" right="0.59055118110236227" top="0.78740157480314965" bottom="0.78740157480314965" header="0.31496062992125984" footer="0.31496062992125984"/>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15" sqref="B15"/>
    </sheetView>
  </sheetViews>
  <sheetFormatPr defaultRowHeight="15" x14ac:dyDescent="0.25"/>
  <cols>
    <col min="1" max="1" width="4.140625" customWidth="1"/>
    <col min="2" max="2" width="26.28515625" customWidth="1"/>
    <col min="3" max="3" width="10.28515625" customWidth="1"/>
    <col min="4" max="4" width="10.42578125" customWidth="1"/>
    <col min="5" max="5" width="12" customWidth="1"/>
    <col min="6" max="6" width="10.28515625" customWidth="1"/>
    <col min="8" max="8" width="10.7109375" customWidth="1"/>
    <col min="9" max="9" width="13.42578125" customWidth="1"/>
    <col min="10" max="10" width="14.28515625" customWidth="1"/>
  </cols>
  <sheetData>
    <row r="1" spans="1:10" x14ac:dyDescent="0.25">
      <c r="A1" s="911" t="s">
        <v>214</v>
      </c>
      <c r="B1" s="911"/>
      <c r="C1" s="911"/>
      <c r="D1" s="911"/>
      <c r="E1" s="911"/>
      <c r="F1" s="911"/>
      <c r="G1" s="911"/>
      <c r="H1" s="911"/>
      <c r="I1" s="911"/>
      <c r="J1" s="911"/>
    </row>
    <row r="2" spans="1:10" x14ac:dyDescent="0.25">
      <c r="A2" s="912" t="s">
        <v>215</v>
      </c>
      <c r="B2" s="912"/>
      <c r="C2" s="912"/>
      <c r="D2" s="912"/>
      <c r="E2" s="912"/>
      <c r="F2" s="912"/>
      <c r="G2" s="912"/>
      <c r="H2" s="912"/>
      <c r="I2" s="912"/>
      <c r="J2" s="912"/>
    </row>
    <row r="3" spans="1:10" x14ac:dyDescent="0.25">
      <c r="A3" s="154"/>
      <c r="B3" s="154"/>
      <c r="C3" s="154"/>
      <c r="D3" s="154"/>
      <c r="E3" s="154"/>
      <c r="F3" s="154"/>
      <c r="G3" s="154"/>
      <c r="H3" s="154"/>
      <c r="I3" s="154"/>
      <c r="J3" s="154"/>
    </row>
    <row r="4" spans="1:10" x14ac:dyDescent="0.25">
      <c r="A4" s="154"/>
      <c r="B4" s="154"/>
      <c r="C4" s="154"/>
      <c r="D4" s="154"/>
      <c r="E4" s="154"/>
      <c r="F4" s="154"/>
      <c r="G4" s="154"/>
      <c r="H4" s="154"/>
      <c r="I4" s="154"/>
      <c r="J4" s="154"/>
    </row>
    <row r="5" spans="1:10" ht="15.75" x14ac:dyDescent="0.25">
      <c r="A5" s="155"/>
      <c r="B5" s="156"/>
      <c r="C5" s="156"/>
      <c r="D5" s="156"/>
      <c r="E5" s="156"/>
      <c r="F5" s="156"/>
      <c r="G5" s="156"/>
      <c r="H5" s="156"/>
      <c r="I5" s="156"/>
      <c r="J5" s="156"/>
    </row>
    <row r="6" spans="1:10" ht="15.75" x14ac:dyDescent="0.25">
      <c r="A6" s="155"/>
      <c r="B6" s="910" t="s">
        <v>196</v>
      </c>
      <c r="C6" s="910"/>
      <c r="D6" s="910"/>
      <c r="E6" s="910"/>
      <c r="F6" s="910"/>
      <c r="G6" s="910"/>
      <c r="H6" s="910"/>
      <c r="I6" s="910"/>
      <c r="J6" s="910"/>
    </row>
    <row r="7" spans="1:10" ht="15.75" x14ac:dyDescent="0.25">
      <c r="A7" s="915" t="s">
        <v>197</v>
      </c>
      <c r="B7" s="915"/>
      <c r="C7" s="915"/>
      <c r="D7" s="915"/>
      <c r="E7" s="915"/>
      <c r="F7" s="915"/>
      <c r="G7" s="915"/>
      <c r="H7" s="915"/>
      <c r="I7" s="915"/>
      <c r="J7" s="915"/>
    </row>
    <row r="8" spans="1:10" x14ac:dyDescent="0.25">
      <c r="A8" s="157"/>
      <c r="B8" s="157"/>
      <c r="C8" s="157"/>
      <c r="D8" s="157"/>
      <c r="E8" s="157"/>
      <c r="F8" s="157"/>
      <c r="G8" s="157"/>
      <c r="H8" s="157"/>
      <c r="I8" s="157"/>
      <c r="J8" s="157"/>
    </row>
    <row r="9" spans="1:10" x14ac:dyDescent="0.25">
      <c r="A9" s="157"/>
      <c r="B9" s="157"/>
      <c r="C9" s="157"/>
      <c r="D9" s="157"/>
      <c r="E9" s="157"/>
      <c r="F9" s="157"/>
      <c r="G9" s="157"/>
      <c r="H9" s="157"/>
      <c r="I9" s="157"/>
      <c r="J9" s="157"/>
    </row>
    <row r="10" spans="1:10" ht="15.75" thickBot="1" x14ac:dyDescent="0.3">
      <c r="A10" s="158"/>
      <c r="B10" s="157"/>
      <c r="C10" s="157"/>
      <c r="D10" s="158"/>
      <c r="E10" s="159"/>
      <c r="F10" s="157"/>
      <c r="G10" s="157"/>
      <c r="H10" s="157"/>
      <c r="I10" s="157"/>
      <c r="J10" s="157"/>
    </row>
    <row r="11" spans="1:10" x14ac:dyDescent="0.25">
      <c r="A11" s="189"/>
      <c r="B11" s="190"/>
      <c r="C11" s="916" t="s">
        <v>198</v>
      </c>
      <c r="D11" s="916"/>
      <c r="E11" s="191" t="s">
        <v>199</v>
      </c>
      <c r="F11" s="192" t="s">
        <v>200</v>
      </c>
      <c r="G11" s="193"/>
      <c r="H11" s="194"/>
      <c r="I11" s="195"/>
      <c r="J11" s="196" t="s">
        <v>201</v>
      </c>
    </row>
    <row r="12" spans="1:10" x14ac:dyDescent="0.25">
      <c r="A12" s="197"/>
      <c r="B12" s="188"/>
      <c r="C12" s="914" t="s">
        <v>202</v>
      </c>
      <c r="D12" s="914"/>
      <c r="E12" s="160" t="s">
        <v>203</v>
      </c>
      <c r="F12" s="161" t="s">
        <v>204</v>
      </c>
      <c r="G12" s="79" t="s">
        <v>205</v>
      </c>
      <c r="H12" s="79" t="s">
        <v>206</v>
      </c>
      <c r="I12" s="79" t="s">
        <v>207</v>
      </c>
      <c r="J12" s="198" t="s">
        <v>208</v>
      </c>
    </row>
    <row r="13" spans="1:10" x14ac:dyDescent="0.25">
      <c r="A13" s="197"/>
      <c r="B13" s="188"/>
      <c r="C13" s="162" t="s">
        <v>209</v>
      </c>
      <c r="D13" s="79" t="s">
        <v>162</v>
      </c>
      <c r="E13" s="160" t="s">
        <v>147</v>
      </c>
      <c r="F13" s="161" t="s">
        <v>210</v>
      </c>
      <c r="G13" s="161" t="s">
        <v>162</v>
      </c>
      <c r="H13" s="161" t="s">
        <v>163</v>
      </c>
      <c r="I13" s="161" t="s">
        <v>210</v>
      </c>
      <c r="J13" s="198" t="s">
        <v>211</v>
      </c>
    </row>
    <row r="14" spans="1:10" x14ac:dyDescent="0.25">
      <c r="A14" s="197"/>
      <c r="B14" s="188"/>
      <c r="C14" s="163" t="s">
        <v>212</v>
      </c>
      <c r="D14" s="163" t="s">
        <v>140</v>
      </c>
      <c r="E14" s="160" t="s">
        <v>142</v>
      </c>
      <c r="F14" s="161" t="s">
        <v>142</v>
      </c>
      <c r="G14" s="161" t="s">
        <v>140</v>
      </c>
      <c r="H14" s="161" t="s">
        <v>129</v>
      </c>
      <c r="I14" s="161" t="s">
        <v>142</v>
      </c>
      <c r="J14" s="198" t="s">
        <v>142</v>
      </c>
    </row>
    <row r="15" spans="1:10" x14ac:dyDescent="0.25">
      <c r="A15" s="199"/>
      <c r="B15" s="164"/>
      <c r="C15" s="165"/>
      <c r="D15" s="165"/>
      <c r="E15" s="166"/>
      <c r="F15" s="167"/>
      <c r="G15" s="167"/>
      <c r="H15" s="167"/>
      <c r="I15" s="167"/>
      <c r="J15" s="200"/>
    </row>
    <row r="16" spans="1:10" x14ac:dyDescent="0.25">
      <c r="A16" s="201" t="s">
        <v>13</v>
      </c>
      <c r="B16" s="168" t="s">
        <v>24</v>
      </c>
      <c r="C16" s="218">
        <f>D16/D21</f>
        <v>0.80458304001040859</v>
      </c>
      <c r="D16" s="169">
        <v>3463.03</v>
      </c>
      <c r="E16" s="170"/>
      <c r="F16" s="171" t="e">
        <f>Lapas3!#REF!</f>
        <v>#REF!</v>
      </c>
      <c r="G16" s="171"/>
      <c r="H16" s="171"/>
      <c r="I16" s="171">
        <v>340.28</v>
      </c>
      <c r="J16" s="202" t="e">
        <f>SUM(F16:I16)</f>
        <v>#REF!</v>
      </c>
    </row>
    <row r="17" spans="1:10" x14ac:dyDescent="0.25">
      <c r="A17" s="201" t="s">
        <v>60</v>
      </c>
      <c r="B17" s="168" t="s">
        <v>216</v>
      </c>
      <c r="C17" s="218">
        <f>D17/D21</f>
        <v>0.11825850984984189</v>
      </c>
      <c r="D17" s="169">
        <v>509</v>
      </c>
      <c r="E17" s="172">
        <v>774.63</v>
      </c>
      <c r="F17" s="173"/>
      <c r="G17" s="173"/>
      <c r="H17" s="173"/>
      <c r="I17" s="173"/>
      <c r="J17" s="203">
        <f>E17</f>
        <v>774.63</v>
      </c>
    </row>
    <row r="18" spans="1:10" x14ac:dyDescent="0.25">
      <c r="A18" s="201" t="s">
        <v>72</v>
      </c>
      <c r="B18" s="168" t="s">
        <v>32</v>
      </c>
      <c r="C18" s="218">
        <f>D18/D21</f>
        <v>7.7158450139749493E-2</v>
      </c>
      <c r="D18" s="169">
        <f>D19+D20</f>
        <v>332.1</v>
      </c>
      <c r="E18" s="172">
        <v>522.49</v>
      </c>
      <c r="F18" s="174">
        <v>366.70737691316577</v>
      </c>
      <c r="G18" s="175">
        <v>36.489584999999998</v>
      </c>
      <c r="H18" s="175">
        <v>4.4550000000000001</v>
      </c>
      <c r="I18" s="174">
        <f>H18/G18*1000</f>
        <v>122.08963187715071</v>
      </c>
      <c r="J18" s="204">
        <f>F18+I18</f>
        <v>488.79700879031645</v>
      </c>
    </row>
    <row r="19" spans="1:10" x14ac:dyDescent="0.25">
      <c r="A19" s="205"/>
      <c r="B19" s="186" t="s">
        <v>217</v>
      </c>
      <c r="C19" s="176"/>
      <c r="D19" s="216">
        <v>106.1</v>
      </c>
      <c r="E19" s="177"/>
      <c r="F19" s="178"/>
      <c r="G19" s="178"/>
      <c r="H19" s="179"/>
      <c r="I19" s="178"/>
      <c r="J19" s="206"/>
    </row>
    <row r="20" spans="1:10" x14ac:dyDescent="0.25">
      <c r="A20" s="207"/>
      <c r="B20" s="187" t="s">
        <v>218</v>
      </c>
      <c r="C20" s="180"/>
      <c r="D20" s="217">
        <v>226</v>
      </c>
      <c r="E20" s="181"/>
      <c r="F20" s="182"/>
      <c r="G20" s="182"/>
      <c r="H20" s="183"/>
      <c r="I20" s="182"/>
      <c r="J20" s="208"/>
    </row>
    <row r="21" spans="1:10" ht="15.75" thickBot="1" x14ac:dyDescent="0.3">
      <c r="A21" s="209"/>
      <c r="B21" s="210" t="s">
        <v>213</v>
      </c>
      <c r="C21" s="211">
        <f>SUM(C16:C20)</f>
        <v>1</v>
      </c>
      <c r="D21" s="212">
        <f>D16+D17+D18</f>
        <v>4304.13</v>
      </c>
      <c r="E21" s="213"/>
      <c r="F21" s="213"/>
      <c r="G21" s="213"/>
      <c r="H21" s="214"/>
      <c r="I21" s="213"/>
      <c r="J21" s="215"/>
    </row>
    <row r="22" spans="1:10" x14ac:dyDescent="0.25">
      <c r="A22" s="157"/>
      <c r="B22" s="157"/>
      <c r="C22" s="157"/>
      <c r="D22" s="157"/>
      <c r="E22" s="157"/>
      <c r="F22" s="157"/>
      <c r="G22" s="157"/>
      <c r="H22" s="157"/>
      <c r="I22" s="157"/>
      <c r="J22" s="157"/>
    </row>
    <row r="23" spans="1:10" x14ac:dyDescent="0.25">
      <c r="A23" s="157"/>
      <c r="B23" s="157"/>
      <c r="C23" s="157"/>
      <c r="D23" s="157"/>
      <c r="E23" s="157"/>
      <c r="F23" s="157"/>
      <c r="G23" s="157"/>
      <c r="H23" s="157"/>
      <c r="I23" s="157"/>
      <c r="J23" s="157"/>
    </row>
    <row r="24" spans="1:10" x14ac:dyDescent="0.25">
      <c r="A24" s="157"/>
      <c r="B24" s="184"/>
      <c r="C24" s="185"/>
      <c r="D24" s="185"/>
      <c r="E24" s="185"/>
      <c r="F24" s="185"/>
      <c r="G24" s="185"/>
      <c r="H24" s="185"/>
      <c r="I24" s="185"/>
      <c r="J24" s="185"/>
    </row>
    <row r="25" spans="1:10" x14ac:dyDescent="0.25">
      <c r="A25" s="157"/>
      <c r="B25" s="184" t="s">
        <v>189</v>
      </c>
      <c r="C25" s="184"/>
      <c r="D25" s="184"/>
      <c r="E25" s="184"/>
      <c r="F25" s="184"/>
      <c r="G25" s="184"/>
      <c r="H25" s="184"/>
      <c r="I25" s="184" t="s">
        <v>190</v>
      </c>
      <c r="J25" s="157"/>
    </row>
    <row r="26" spans="1:10" x14ac:dyDescent="0.25">
      <c r="A26" s="157"/>
      <c r="B26" s="185"/>
      <c r="C26" s="185"/>
      <c r="D26" s="185"/>
      <c r="E26" s="185"/>
      <c r="F26" s="185"/>
      <c r="G26" s="185"/>
      <c r="H26" s="185"/>
      <c r="I26" s="185"/>
      <c r="J26" s="185"/>
    </row>
    <row r="27" spans="1:10" x14ac:dyDescent="0.25">
      <c r="A27" s="157"/>
      <c r="B27" s="185"/>
      <c r="C27" s="157"/>
      <c r="D27" s="157"/>
      <c r="E27" s="157"/>
      <c r="F27" s="185"/>
      <c r="G27" s="185"/>
      <c r="H27" s="185"/>
      <c r="I27" s="185"/>
      <c r="J27" s="185"/>
    </row>
    <row r="28" spans="1:10" x14ac:dyDescent="0.25">
      <c r="A28" s="157"/>
      <c r="B28" s="157"/>
      <c r="C28" s="157"/>
      <c r="D28" s="157"/>
      <c r="E28" s="157"/>
      <c r="F28" s="157"/>
      <c r="G28" s="157"/>
      <c r="H28" s="157"/>
      <c r="I28" s="157"/>
      <c r="J28" s="157"/>
    </row>
    <row r="29" spans="1:10" x14ac:dyDescent="0.25">
      <c r="A29" s="157"/>
      <c r="B29" s="157"/>
      <c r="C29" s="157"/>
      <c r="D29" s="157"/>
      <c r="E29" s="157"/>
      <c r="F29" s="157"/>
      <c r="G29" s="157"/>
      <c r="H29" s="157"/>
      <c r="I29" s="157"/>
      <c r="J29" s="157"/>
    </row>
    <row r="30" spans="1:10" x14ac:dyDescent="0.25">
      <c r="A30" s="157"/>
      <c r="B30" s="157"/>
      <c r="C30" s="157"/>
      <c r="D30" s="157"/>
      <c r="E30" s="157"/>
      <c r="F30" s="157"/>
      <c r="G30" s="157"/>
      <c r="H30" s="157"/>
      <c r="I30" s="157"/>
      <c r="J30" s="157"/>
    </row>
    <row r="31" spans="1:10" x14ac:dyDescent="0.25">
      <c r="A31" s="157"/>
      <c r="B31" s="185" t="s">
        <v>167</v>
      </c>
      <c r="C31" s="157"/>
      <c r="D31" s="157"/>
      <c r="E31" s="157"/>
      <c r="F31" s="157"/>
      <c r="G31" s="157"/>
      <c r="H31" s="157"/>
      <c r="I31" s="157"/>
      <c r="J31" s="157"/>
    </row>
    <row r="32" spans="1:10" x14ac:dyDescent="0.25">
      <c r="A32" s="157"/>
      <c r="C32" s="157"/>
      <c r="D32" s="157"/>
      <c r="E32" s="157"/>
      <c r="F32" s="157"/>
      <c r="G32" s="157"/>
      <c r="H32" s="157"/>
      <c r="I32" s="157"/>
      <c r="J32" s="157"/>
    </row>
  </sheetData>
  <mergeCells count="6">
    <mergeCell ref="C12:D12"/>
    <mergeCell ref="A1:J1"/>
    <mergeCell ref="A2:J2"/>
    <mergeCell ref="B6:J6"/>
    <mergeCell ref="A7:J7"/>
    <mergeCell ref="C11:D11"/>
  </mergeCells>
  <pageMargins left="0.78740157480314965" right="0.78740157480314965" top="1.1811023622047245" bottom="0.59055118110236227" header="0.31496062992125984" footer="0.31496062992125984"/>
  <pageSetup paperSize="9"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W36"/>
  <sheetViews>
    <sheetView zoomScaleNormal="100" workbookViewId="0">
      <selection activeCell="O29" sqref="O29"/>
    </sheetView>
  </sheetViews>
  <sheetFormatPr defaultRowHeight="12.75" x14ac:dyDescent="0.2"/>
  <cols>
    <col min="1" max="1" width="2.85546875" style="799" customWidth="1"/>
    <col min="2" max="2" width="30.28515625" style="799" customWidth="1"/>
    <col min="3" max="3" width="10.85546875" style="799" customWidth="1"/>
    <col min="4" max="7" width="13.28515625" style="800" customWidth="1"/>
    <col min="8" max="8" width="14.7109375" style="800" customWidth="1"/>
    <col min="9" max="9" width="19.5703125" style="800" customWidth="1"/>
    <col min="10" max="10" width="9.140625" style="799"/>
    <col min="11" max="11" width="14.28515625" style="799" customWidth="1"/>
    <col min="12" max="12" width="16.140625" style="799" bestFit="1" customWidth="1"/>
    <col min="13" max="14" width="14.28515625" style="799" customWidth="1"/>
    <col min="15" max="15" width="23.28515625" style="799" customWidth="1"/>
    <col min="16" max="16" width="2" style="799" customWidth="1"/>
    <col min="17" max="17" width="24" style="799" customWidth="1"/>
    <col min="18" max="18" width="2.140625" style="799" customWidth="1"/>
    <col min="19" max="23" width="11.5703125" style="799" customWidth="1"/>
    <col min="24" max="16384" width="9.140625" style="799"/>
  </cols>
  <sheetData>
    <row r="2" spans="2:23" s="807" customFormat="1" ht="19.5" customHeight="1" x14ac:dyDescent="0.25">
      <c r="B2" s="816"/>
      <c r="C2" s="812" t="s">
        <v>479</v>
      </c>
      <c r="D2" s="924" t="s">
        <v>483</v>
      </c>
      <c r="E2" s="918"/>
      <c r="F2" s="918" t="s">
        <v>484</v>
      </c>
      <c r="G2" s="918"/>
      <c r="H2" s="918" t="s">
        <v>488</v>
      </c>
      <c r="I2" s="918"/>
      <c r="J2" s="842"/>
      <c r="K2" s="918" t="s">
        <v>509</v>
      </c>
      <c r="L2" s="918"/>
      <c r="M2" s="918"/>
      <c r="N2" s="918"/>
      <c r="O2" s="919" t="s">
        <v>512</v>
      </c>
      <c r="S2" s="918" t="s">
        <v>513</v>
      </c>
      <c r="T2" s="918"/>
      <c r="U2" s="918"/>
      <c r="V2" s="918"/>
      <c r="W2" s="919" t="s">
        <v>491</v>
      </c>
    </row>
    <row r="3" spans="2:23" s="807" customFormat="1" ht="19.5" customHeight="1" x14ac:dyDescent="0.25">
      <c r="B3" s="811" t="s">
        <v>198</v>
      </c>
      <c r="C3" s="810"/>
      <c r="D3" s="817" t="s">
        <v>480</v>
      </c>
      <c r="E3" s="806" t="s">
        <v>212</v>
      </c>
      <c r="F3" s="806" t="s">
        <v>480</v>
      </c>
      <c r="G3" s="806" t="s">
        <v>212</v>
      </c>
      <c r="H3" s="806" t="s">
        <v>480</v>
      </c>
      <c r="I3" s="806" t="s">
        <v>212</v>
      </c>
      <c r="J3" s="842" t="s">
        <v>523</v>
      </c>
      <c r="K3" s="806" t="s">
        <v>489</v>
      </c>
      <c r="L3" s="806" t="s">
        <v>490</v>
      </c>
      <c r="M3" s="806" t="s">
        <v>476</v>
      </c>
      <c r="N3" s="806" t="s">
        <v>213</v>
      </c>
      <c r="O3" s="920"/>
      <c r="S3" s="826" t="s">
        <v>489</v>
      </c>
      <c r="T3" s="826" t="s">
        <v>490</v>
      </c>
      <c r="U3" s="826" t="s">
        <v>476</v>
      </c>
      <c r="V3" s="826" t="s">
        <v>213</v>
      </c>
      <c r="W3" s="920"/>
    </row>
    <row r="4" spans="2:23" x14ac:dyDescent="0.2">
      <c r="B4" s="923" t="s">
        <v>24</v>
      </c>
      <c r="C4" s="802" t="s">
        <v>481</v>
      </c>
      <c r="D4" s="818">
        <f>D5/11.63</f>
        <v>3865.0902837489248</v>
      </c>
      <c r="E4" s="921">
        <f>D4/SUM($D$4,$D$7,$D$8,$D$9)</f>
        <v>0.82127794473070381</v>
      </c>
      <c r="F4" s="818">
        <f>F5/11.63</f>
        <v>357.46027515047291</v>
      </c>
      <c r="G4" s="921">
        <f>F4/$F$12</f>
        <v>0.44479794038621517</v>
      </c>
      <c r="H4" s="821">
        <f>G4*$D$12</f>
        <v>2093.3037452771396</v>
      </c>
      <c r="I4" s="921">
        <f>H4/$H$12</f>
        <v>0.44479666809535229</v>
      </c>
      <c r="J4" s="843" t="s">
        <v>525</v>
      </c>
      <c r="K4" s="823" t="s">
        <v>487</v>
      </c>
      <c r="L4" s="823" t="s">
        <v>487</v>
      </c>
      <c r="M4" s="823" t="s">
        <v>487</v>
      </c>
      <c r="N4" s="815" t="s">
        <v>487</v>
      </c>
      <c r="O4" s="801"/>
      <c r="Q4" s="923" t="s">
        <v>24</v>
      </c>
      <c r="S4" s="823" t="s">
        <v>487</v>
      </c>
      <c r="T4" s="823" t="s">
        <v>487</v>
      </c>
      <c r="U4" s="823" t="s">
        <v>487</v>
      </c>
      <c r="V4" s="815" t="s">
        <v>487</v>
      </c>
      <c r="W4" s="801"/>
    </row>
    <row r="5" spans="2:23" ht="24" customHeight="1" x14ac:dyDescent="0.2">
      <c r="B5" s="920"/>
      <c r="C5" s="829" t="s">
        <v>482</v>
      </c>
      <c r="D5" s="827">
        <v>44951</v>
      </c>
      <c r="E5" s="922"/>
      <c r="F5" s="827">
        <v>4157.2629999999999</v>
      </c>
      <c r="G5" s="922"/>
      <c r="H5" s="827">
        <f>ROUND(H4*11.63,2)</f>
        <v>24345.119999999999</v>
      </c>
      <c r="I5" s="922"/>
      <c r="J5" s="844">
        <v>17.46</v>
      </c>
      <c r="K5" s="824">
        <v>17.5</v>
      </c>
      <c r="L5" s="824">
        <v>16.149999999999999</v>
      </c>
      <c r="M5" s="833"/>
      <c r="N5" s="815">
        <f t="shared" ref="N5:N11" si="0">SUM(K5:M5)</f>
        <v>33.65</v>
      </c>
      <c r="O5" s="813">
        <v>42429</v>
      </c>
      <c r="Q5" s="920"/>
      <c r="S5" s="837">
        <v>17.5</v>
      </c>
      <c r="T5" s="837">
        <v>16.149999999999999</v>
      </c>
      <c r="U5" s="837"/>
      <c r="V5" s="838">
        <f t="shared" ref="V5:V11" si="1">SUM(S5:U5)</f>
        <v>33.65</v>
      </c>
      <c r="W5" s="839">
        <v>42429</v>
      </c>
    </row>
    <row r="6" spans="2:23" s="807" customFormat="1" ht="21" customHeight="1" x14ac:dyDescent="0.25">
      <c r="B6" s="805" t="s">
        <v>475</v>
      </c>
      <c r="C6" s="806" t="s">
        <v>481</v>
      </c>
      <c r="D6" s="818"/>
      <c r="E6" s="819">
        <f t="shared" ref="E6:E11" si="2">D6/SUM($D$4,$D$7,$D$8,$D$9)</f>
        <v>0</v>
      </c>
      <c r="F6" s="818">
        <v>282.24900000000002</v>
      </c>
      <c r="G6" s="819">
        <f t="shared" ref="G6:G11" si="3">F6/$F$12</f>
        <v>0.35121042141877501</v>
      </c>
      <c r="H6" s="820">
        <f t="shared" ref="H6:H11" si="4">ROUND(G6*$D$12,1)</f>
        <v>1652.9</v>
      </c>
      <c r="I6" s="819">
        <f t="shared" ref="I6:I11" si="5">H6/$H$12</f>
        <v>0.35121726331095426</v>
      </c>
      <c r="J6" s="845">
        <v>132.91</v>
      </c>
      <c r="K6" s="814">
        <v>138.99</v>
      </c>
      <c r="L6" s="814"/>
      <c r="M6" s="814">
        <v>2.44</v>
      </c>
      <c r="N6" s="815">
        <f t="shared" si="0"/>
        <v>141.43</v>
      </c>
      <c r="O6" s="813">
        <v>42429</v>
      </c>
      <c r="Q6" s="835" t="s">
        <v>475</v>
      </c>
      <c r="S6" s="840">
        <v>138.99</v>
      </c>
      <c r="T6" s="840"/>
      <c r="U6" s="840">
        <v>2.44</v>
      </c>
      <c r="V6" s="838">
        <f t="shared" si="1"/>
        <v>141.43</v>
      </c>
      <c r="W6" s="839">
        <v>42429</v>
      </c>
    </row>
    <row r="7" spans="2:23" s="807" customFormat="1" ht="21" customHeight="1" x14ac:dyDescent="0.25">
      <c r="B7" s="805" t="s">
        <v>216</v>
      </c>
      <c r="C7" s="806" t="s">
        <v>481</v>
      </c>
      <c r="D7" s="818">
        <v>509</v>
      </c>
      <c r="E7" s="819">
        <f t="shared" si="2"/>
        <v>0.10815542281782398</v>
      </c>
      <c r="F7" s="818">
        <v>72.137467000000001</v>
      </c>
      <c r="G7" s="819">
        <f t="shared" si="3"/>
        <v>8.9762692463579943E-2</v>
      </c>
      <c r="H7" s="821">
        <f t="shared" si="4"/>
        <v>422.4</v>
      </c>
      <c r="I7" s="819">
        <f t="shared" si="5"/>
        <v>8.9753870181225159E-2</v>
      </c>
      <c r="J7" s="845">
        <v>192.28</v>
      </c>
      <c r="K7" s="850">
        <v>192.28</v>
      </c>
      <c r="L7" s="814">
        <v>10.69</v>
      </c>
      <c r="M7" s="814"/>
      <c r="N7" s="815">
        <f t="shared" si="0"/>
        <v>202.97</v>
      </c>
      <c r="O7" s="825" t="s">
        <v>492</v>
      </c>
      <c r="Q7" s="835" t="s">
        <v>216</v>
      </c>
      <c r="R7" s="828"/>
      <c r="S7" s="840">
        <v>207.52</v>
      </c>
      <c r="T7" s="840">
        <v>10.69</v>
      </c>
      <c r="U7" s="840"/>
      <c r="V7" s="838">
        <f t="shared" si="1"/>
        <v>218.21</v>
      </c>
      <c r="W7" s="839">
        <v>42429</v>
      </c>
    </row>
    <row r="8" spans="2:23" s="807" customFormat="1" ht="21" customHeight="1" x14ac:dyDescent="0.25">
      <c r="B8" s="805" t="s">
        <v>474</v>
      </c>
      <c r="C8" s="806" t="s">
        <v>481</v>
      </c>
      <c r="D8" s="818">
        <v>226</v>
      </c>
      <c r="E8" s="819">
        <f t="shared" si="2"/>
        <v>4.8021857675497485E-2</v>
      </c>
      <c r="F8" s="818">
        <v>32.436019200000004</v>
      </c>
      <c r="G8" s="819">
        <f t="shared" si="3"/>
        <v>4.0361056982945835E-2</v>
      </c>
      <c r="H8" s="820">
        <f t="shared" si="4"/>
        <v>189.9</v>
      </c>
      <c r="I8" s="819">
        <f t="shared" si="5"/>
        <v>4.035099419369001E-2</v>
      </c>
      <c r="J8" s="845">
        <v>149.66999999999999</v>
      </c>
      <c r="K8" s="814">
        <v>149.66999999999999</v>
      </c>
      <c r="L8" s="814"/>
      <c r="M8" s="814"/>
      <c r="N8" s="815">
        <f t="shared" si="0"/>
        <v>149.66999999999999</v>
      </c>
      <c r="O8" s="825" t="s">
        <v>492</v>
      </c>
      <c r="Q8" s="835" t="s">
        <v>474</v>
      </c>
      <c r="R8" s="828"/>
      <c r="S8" s="814">
        <v>149.66999999999999</v>
      </c>
      <c r="T8" s="814"/>
      <c r="U8" s="814"/>
      <c r="V8" s="815">
        <f t="shared" si="1"/>
        <v>149.66999999999999</v>
      </c>
      <c r="W8" s="825" t="s">
        <v>492</v>
      </c>
    </row>
    <row r="9" spans="2:23" s="807" customFormat="1" ht="21" customHeight="1" x14ac:dyDescent="0.25">
      <c r="B9" s="805" t="s">
        <v>472</v>
      </c>
      <c r="C9" s="806" t="s">
        <v>481</v>
      </c>
      <c r="D9" s="818">
        <v>106.1</v>
      </c>
      <c r="E9" s="819">
        <f t="shared" si="2"/>
        <v>2.2544774775974701E-2</v>
      </c>
      <c r="F9" s="818">
        <v>46.877332800000012</v>
      </c>
      <c r="G9" s="819">
        <f t="shared" si="3"/>
        <v>5.8330792341783913E-2</v>
      </c>
      <c r="H9" s="821">
        <f t="shared" si="4"/>
        <v>274.5</v>
      </c>
      <c r="I9" s="819">
        <f t="shared" si="5"/>
        <v>5.832726648850925E-2</v>
      </c>
      <c r="J9" s="845">
        <v>133.37</v>
      </c>
      <c r="K9" s="850">
        <v>133.37</v>
      </c>
      <c r="L9" s="814"/>
      <c r="M9" s="814"/>
      <c r="N9" s="815">
        <f t="shared" si="0"/>
        <v>133.37</v>
      </c>
      <c r="O9" s="813" t="s">
        <v>492</v>
      </c>
      <c r="Q9" s="835" t="s">
        <v>472</v>
      </c>
      <c r="R9" s="828"/>
      <c r="S9" s="814">
        <v>111.81</v>
      </c>
      <c r="T9" s="814">
        <v>0.13</v>
      </c>
      <c r="U9" s="814"/>
      <c r="V9" s="815">
        <f t="shared" si="1"/>
        <v>111.94</v>
      </c>
      <c r="W9" s="846">
        <v>42277</v>
      </c>
    </row>
    <row r="10" spans="2:23" s="807" customFormat="1" ht="21" customHeight="1" x14ac:dyDescent="0.25">
      <c r="B10" s="805" t="s">
        <v>473</v>
      </c>
      <c r="C10" s="806" t="s">
        <v>481</v>
      </c>
      <c r="D10" s="818"/>
      <c r="E10" s="819">
        <f t="shared" si="2"/>
        <v>0</v>
      </c>
      <c r="F10" s="818">
        <v>1.5144120000000001</v>
      </c>
      <c r="G10" s="819">
        <f t="shared" si="3"/>
        <v>1.8844257259428728E-3</v>
      </c>
      <c r="H10" s="820">
        <f t="shared" si="4"/>
        <v>8.9</v>
      </c>
      <c r="I10" s="819">
        <f t="shared" si="5"/>
        <v>1.8911208442540339E-3</v>
      </c>
      <c r="J10" s="845">
        <v>268.58999999999997</v>
      </c>
      <c r="K10" s="814">
        <f>268.59*1.05</f>
        <v>282.01949999999999</v>
      </c>
      <c r="L10" s="814"/>
      <c r="M10" s="814"/>
      <c r="N10" s="815">
        <f t="shared" si="0"/>
        <v>282.01949999999999</v>
      </c>
      <c r="O10" s="825" t="s">
        <v>492</v>
      </c>
      <c r="Q10" s="835" t="s">
        <v>473</v>
      </c>
      <c r="R10" s="828"/>
      <c r="S10" s="840">
        <v>358</v>
      </c>
      <c r="T10" s="840"/>
      <c r="U10" s="840"/>
      <c r="V10" s="838">
        <f t="shared" si="1"/>
        <v>358</v>
      </c>
      <c r="W10" s="839">
        <v>42429</v>
      </c>
    </row>
    <row r="11" spans="2:23" s="807" customFormat="1" ht="21" customHeight="1" x14ac:dyDescent="0.25">
      <c r="B11" s="806" t="s">
        <v>478</v>
      </c>
      <c r="C11" s="806" t="s">
        <v>481</v>
      </c>
      <c r="D11" s="818"/>
      <c r="E11" s="822">
        <f t="shared" si="2"/>
        <v>0</v>
      </c>
      <c r="F11" s="818">
        <v>10.971920000000001</v>
      </c>
      <c r="G11" s="822">
        <f t="shared" si="3"/>
        <v>1.3652670680757366E-2</v>
      </c>
      <c r="H11" s="821">
        <f t="shared" si="4"/>
        <v>64.3</v>
      </c>
      <c r="I11" s="822">
        <f t="shared" si="5"/>
        <v>1.3662816886015099E-2</v>
      </c>
      <c r="J11" s="845">
        <v>312.06</v>
      </c>
      <c r="K11" s="814">
        <v>312.06</v>
      </c>
      <c r="L11" s="814"/>
      <c r="M11" s="814"/>
      <c r="N11" s="815">
        <f t="shared" si="0"/>
        <v>312.06</v>
      </c>
      <c r="O11" s="825" t="s">
        <v>492</v>
      </c>
      <c r="Q11" s="834" t="s">
        <v>478</v>
      </c>
      <c r="S11" s="814">
        <v>312.06</v>
      </c>
      <c r="T11" s="814"/>
      <c r="U11" s="814"/>
      <c r="V11" s="815">
        <f t="shared" si="1"/>
        <v>312.06</v>
      </c>
      <c r="W11" s="825" t="s">
        <v>492</v>
      </c>
    </row>
    <row r="12" spans="2:23" s="807" customFormat="1" ht="21" customHeight="1" x14ac:dyDescent="0.2">
      <c r="B12" s="804" t="s">
        <v>486</v>
      </c>
      <c r="C12" s="804" t="s">
        <v>481</v>
      </c>
      <c r="D12" s="808">
        <f t="shared" ref="D12:I12" si="6">SUM(D4,D6,D7,D8,D9,D10,D11)</f>
        <v>4706.1902837489251</v>
      </c>
      <c r="E12" s="809">
        <f t="shared" si="6"/>
        <v>1</v>
      </c>
      <c r="F12" s="808">
        <f t="shared" si="6"/>
        <v>803.64642615047285</v>
      </c>
      <c r="G12" s="809">
        <f t="shared" si="6"/>
        <v>1</v>
      </c>
      <c r="H12" s="808">
        <f t="shared" si="6"/>
        <v>4706.2037452771392</v>
      </c>
      <c r="I12" s="809">
        <f t="shared" si="6"/>
        <v>1.0000000000000002</v>
      </c>
      <c r="K12" s="830" t="s">
        <v>511</v>
      </c>
      <c r="Q12" s="799"/>
    </row>
    <row r="13" spans="2:23" ht="6.75" customHeight="1" x14ac:dyDescent="0.2">
      <c r="M13" s="807"/>
      <c r="N13" s="807"/>
      <c r="O13" s="807"/>
      <c r="P13" s="807"/>
      <c r="R13" s="807"/>
      <c r="S13" s="841"/>
      <c r="T13" s="807" t="s">
        <v>522</v>
      </c>
      <c r="U13" s="807"/>
      <c r="V13" s="807"/>
    </row>
    <row r="14" spans="2:23" ht="55.5" customHeight="1" x14ac:dyDescent="0.2">
      <c r="B14" s="804" t="s">
        <v>485</v>
      </c>
      <c r="D14" s="917" t="s">
        <v>435</v>
      </c>
      <c r="E14" s="917"/>
      <c r="H14" s="917" t="s">
        <v>493</v>
      </c>
      <c r="I14" s="917"/>
      <c r="K14" s="843"/>
      <c r="L14" s="799" t="s">
        <v>524</v>
      </c>
      <c r="M14" s="807"/>
      <c r="N14" s="807"/>
      <c r="O14" s="807"/>
      <c r="P14" s="807"/>
      <c r="Q14" s="807"/>
      <c r="R14" s="807"/>
      <c r="S14" s="807"/>
      <c r="T14" s="807"/>
      <c r="U14" s="807"/>
      <c r="V14" s="807"/>
    </row>
    <row r="15" spans="2:23" x14ac:dyDescent="0.2">
      <c r="M15" s="807"/>
      <c r="N15" s="807"/>
      <c r="O15" s="807"/>
      <c r="P15" s="807"/>
      <c r="Q15" s="807"/>
      <c r="R15" s="807"/>
      <c r="S15" s="807"/>
      <c r="T15" s="807"/>
      <c r="U15" s="807"/>
      <c r="V15" s="807"/>
    </row>
    <row r="16" spans="2:23" x14ac:dyDescent="0.2">
      <c r="K16" s="848" t="s">
        <v>528</v>
      </c>
      <c r="M16" s="807"/>
      <c r="N16" s="807"/>
      <c r="O16" s="807"/>
      <c r="P16" s="807"/>
      <c r="Q16" s="807"/>
      <c r="R16" s="807"/>
      <c r="S16" s="807"/>
      <c r="T16" s="807"/>
      <c r="U16" s="807"/>
      <c r="V16" s="807"/>
    </row>
    <row r="17" spans="2:22" x14ac:dyDescent="0.2">
      <c r="B17" s="800" t="s">
        <v>510</v>
      </c>
      <c r="K17" s="848" t="s">
        <v>529</v>
      </c>
      <c r="M17" s="807"/>
      <c r="N17" s="807"/>
      <c r="O17" s="807"/>
      <c r="P17" s="807"/>
      <c r="Q17" s="807"/>
      <c r="R17" s="807"/>
      <c r="S17" s="807"/>
      <c r="T17" s="807"/>
      <c r="U17" s="807"/>
      <c r="V17" s="807"/>
    </row>
    <row r="18" spans="2:22" x14ac:dyDescent="0.2">
      <c r="B18" s="799" t="s">
        <v>507</v>
      </c>
      <c r="K18" s="848" t="s">
        <v>530</v>
      </c>
      <c r="M18" s="807"/>
      <c r="N18" s="807"/>
      <c r="O18" s="807"/>
      <c r="P18" s="807"/>
      <c r="Q18" s="807"/>
      <c r="R18" s="807"/>
      <c r="S18" s="807"/>
      <c r="T18" s="807"/>
      <c r="U18" s="807"/>
      <c r="V18" s="807"/>
    </row>
    <row r="19" spans="2:22" x14ac:dyDescent="0.2">
      <c r="B19" s="799" t="s">
        <v>506</v>
      </c>
      <c r="K19" s="848" t="s">
        <v>531</v>
      </c>
    </row>
    <row r="20" spans="2:22" x14ac:dyDescent="0.2">
      <c r="B20" s="799" t="s">
        <v>494</v>
      </c>
    </row>
    <row r="21" spans="2:22" x14ac:dyDescent="0.2">
      <c r="B21" s="799" t="s">
        <v>495</v>
      </c>
    </row>
    <row r="22" spans="2:22" x14ac:dyDescent="0.2">
      <c r="B22" s="799" t="s">
        <v>496</v>
      </c>
    </row>
    <row r="23" spans="2:22" x14ac:dyDescent="0.2">
      <c r="B23" s="799" t="s">
        <v>497</v>
      </c>
    </row>
    <row r="24" spans="2:22" x14ac:dyDescent="0.2">
      <c r="B24" s="799" t="s">
        <v>498</v>
      </c>
    </row>
    <row r="25" spans="2:22" x14ac:dyDescent="0.2">
      <c r="B25" s="799" t="s">
        <v>499</v>
      </c>
    </row>
    <row r="26" spans="2:22" x14ac:dyDescent="0.2">
      <c r="B26" s="799" t="s">
        <v>508</v>
      </c>
    </row>
    <row r="27" spans="2:22" x14ac:dyDescent="0.2">
      <c r="B27" s="799" t="s">
        <v>520</v>
      </c>
    </row>
    <row r="28" spans="2:22" x14ac:dyDescent="0.2">
      <c r="B28" s="799" t="s">
        <v>521</v>
      </c>
    </row>
    <row r="29" spans="2:22" x14ac:dyDescent="0.2">
      <c r="B29" s="799" t="s">
        <v>518</v>
      </c>
    </row>
    <row r="30" spans="2:22" x14ac:dyDescent="0.2">
      <c r="B30" s="799" t="s">
        <v>519</v>
      </c>
    </row>
    <row r="31" spans="2:22" x14ac:dyDescent="0.2">
      <c r="B31" s="799" t="s">
        <v>500</v>
      </c>
    </row>
    <row r="32" spans="2:22" x14ac:dyDescent="0.2">
      <c r="B32" s="799" t="s">
        <v>502</v>
      </c>
    </row>
    <row r="33" spans="2:2" x14ac:dyDescent="0.2">
      <c r="B33" s="799" t="s">
        <v>503</v>
      </c>
    </row>
    <row r="34" spans="2:2" x14ac:dyDescent="0.2">
      <c r="B34" s="799" t="s">
        <v>504</v>
      </c>
    </row>
    <row r="35" spans="2:2" x14ac:dyDescent="0.2">
      <c r="B35" s="799" t="s">
        <v>505</v>
      </c>
    </row>
    <row r="36" spans="2:2" x14ac:dyDescent="0.2">
      <c r="B36" s="799" t="s">
        <v>501</v>
      </c>
    </row>
  </sheetData>
  <mergeCells count="14">
    <mergeCell ref="S2:V2"/>
    <mergeCell ref="W2:W3"/>
    <mergeCell ref="B4:B5"/>
    <mergeCell ref="G4:G5"/>
    <mergeCell ref="D2:E2"/>
    <mergeCell ref="F2:G2"/>
    <mergeCell ref="E4:E5"/>
    <mergeCell ref="Q4:Q5"/>
    <mergeCell ref="H14:I14"/>
    <mergeCell ref="K2:N2"/>
    <mergeCell ref="O2:O3"/>
    <mergeCell ref="D14:E14"/>
    <mergeCell ref="H2:I2"/>
    <mergeCell ref="I4:I5"/>
  </mergeCells>
  <hyperlinks>
    <hyperlink ref="K12" r:id="rId1"/>
  </hyperlinks>
  <pageMargins left="0.23622047244094491" right="0.23622047244094491" top="0.74803149606299213" bottom="0.74803149606299213" header="0.31496062992125984" footer="0.31496062992125984"/>
  <pageSetup scale="43" fitToHeight="0" orientation="landscape" horizontalDpi="4294967293"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5</vt:i4>
      </vt:variant>
    </vt:vector>
  </HeadingPairs>
  <TitlesOfParts>
    <vt:vector size="5" baseType="lpstr">
      <vt:lpstr>Silumos kaina</vt:lpstr>
      <vt:lpstr>KV kaina</vt:lpstr>
      <vt:lpstr>Lapas3</vt:lpstr>
      <vt:lpstr>Lapas4</vt:lpstr>
      <vt:lpstr>Kuro struktūra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Naudotojas</dc:creator>
  <cp:lastModifiedBy>1</cp:lastModifiedBy>
  <cp:lastPrinted>2016-03-30T10:19:56Z</cp:lastPrinted>
  <dcterms:created xsi:type="dcterms:W3CDTF">2013-07-23T12:08:15Z</dcterms:created>
  <dcterms:modified xsi:type="dcterms:W3CDTF">2016-04-07T13:24:57Z</dcterms:modified>
</cp:coreProperties>
</file>