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Silumos kaina" sheetId="1" r:id="rId1"/>
    <sheet name="KV kaina" sheetId="2" r:id="rId2"/>
  </sheets>
  <definedNames/>
  <calcPr fullCalcOnLoad="1"/>
</workbook>
</file>

<file path=xl/sharedStrings.xml><?xml version="1.0" encoding="utf-8"?>
<sst xmlns="http://schemas.openxmlformats.org/spreadsheetml/2006/main" count="6426" uniqueCount="343">
  <si>
    <t>Duomenys apie ūkio subjektą</t>
  </si>
  <si>
    <t>UAB "Anykščių šiluma"</t>
  </si>
  <si>
    <t>Įmonės kodas 1541 12751</t>
  </si>
  <si>
    <t>Vairuotojų g.11, 29107, Anykščiai</t>
  </si>
  <si>
    <t>faksas  8 381 59441</t>
  </si>
  <si>
    <t>e.paštas ast.laima@takas.lt</t>
  </si>
  <si>
    <t>Valstybinei kainų ir energetikos kontrolės komisijai</t>
  </si>
  <si>
    <t xml:space="preserve">Sprendimas, kuriuo nustatytos šilumos kainos dedamosios: </t>
  </si>
  <si>
    <t>Eil. Nr.</t>
  </si>
  <si>
    <t>Pavadinimas</t>
  </si>
  <si>
    <t>Mato vnt.</t>
  </si>
  <si>
    <t>Rodiklis</t>
  </si>
  <si>
    <t>Kainos</t>
  </si>
  <si>
    <t>1.</t>
  </si>
  <si>
    <t>ŠILUMOS GAMYBOS KAINOS DEDAMOSIOS</t>
  </si>
  <si>
    <t>1.1.</t>
  </si>
  <si>
    <t>1.1.1.</t>
  </si>
  <si>
    <t>1.1.2.</t>
  </si>
  <si>
    <t>Šilumos gamybos savo šaltinyje kainos pastovioji dedamoji</t>
  </si>
  <si>
    <t>šilumos gamybos savo šaltynyje kainos kintamoji dedamoji</t>
  </si>
  <si>
    <r>
      <t>T</t>
    </r>
    <r>
      <rPr>
        <vertAlign val="subscript"/>
        <sz val="8"/>
        <color indexed="8"/>
        <rFont val="Calibri"/>
        <family val="2"/>
      </rPr>
      <t>nš kd</t>
    </r>
    <r>
      <rPr>
        <vertAlign val="subscript"/>
        <sz val="11"/>
        <color indexed="8"/>
        <rFont val="Times New Roman"/>
        <family val="1"/>
      </rPr>
      <t>= 0,28+(4325,0 x T</t>
    </r>
    <r>
      <rPr>
        <vertAlign val="subscript"/>
        <sz val="8"/>
        <color indexed="8"/>
        <rFont val="Times New Roman"/>
        <family val="1"/>
      </rPr>
      <t>d</t>
    </r>
    <r>
      <rPr>
        <vertAlign val="subscript"/>
        <sz val="11"/>
        <color indexed="8"/>
        <rFont val="Times New Roman"/>
        <family val="1"/>
      </rPr>
      <t xml:space="preserve"> + 226,0 x T</t>
    </r>
    <r>
      <rPr>
        <vertAlign val="subscript"/>
        <sz val="8"/>
        <color indexed="8"/>
        <rFont val="Times New Roman"/>
        <family val="1"/>
      </rPr>
      <t>med</t>
    </r>
    <r>
      <rPr>
        <vertAlign val="subscript"/>
        <sz val="11"/>
        <color indexed="8"/>
        <rFont val="Times New Roman"/>
        <family val="1"/>
      </rPr>
      <t xml:space="preserve"> + 509,0 x T</t>
    </r>
    <r>
      <rPr>
        <vertAlign val="subscript"/>
        <sz val="8"/>
        <color indexed="8"/>
        <rFont val="Times New Roman"/>
        <family val="1"/>
      </rPr>
      <t>a</t>
    </r>
    <r>
      <rPr>
        <vertAlign val="subscript"/>
        <sz val="11"/>
        <color indexed="8"/>
        <rFont val="Times New Roman"/>
        <family val="1"/>
      </rPr>
      <t xml:space="preserve"> + 106,1 x T</t>
    </r>
    <r>
      <rPr>
        <vertAlign val="subscript"/>
        <sz val="8"/>
        <color indexed="8"/>
        <rFont val="Times New Roman"/>
        <family val="1"/>
      </rPr>
      <t>pj</t>
    </r>
    <r>
      <rPr>
        <vertAlign val="subscript"/>
        <sz val="11"/>
        <color indexed="8"/>
        <rFont val="Times New Roman"/>
        <family val="1"/>
      </rPr>
      <t>)  / (44,84 x 10000)</t>
    </r>
  </si>
  <si>
    <t>1.2.</t>
  </si>
  <si>
    <t>Kuro rūšys, naudojamos šilumos kintamosios dedamosios skaičiavimuose</t>
  </si>
  <si>
    <t>1.2.1.</t>
  </si>
  <si>
    <t>Gamtinės dujos</t>
  </si>
  <si>
    <t>1.2.1.1.</t>
  </si>
  <si>
    <t>kuro žaliavos pirkimo kaina</t>
  </si>
  <si>
    <t>1.2.1.2.</t>
  </si>
  <si>
    <t>transportavimo kaina</t>
  </si>
  <si>
    <t>1.2.1.3.</t>
  </si>
  <si>
    <t>šilumos kainos skaičiavimui taikoma kaina</t>
  </si>
  <si>
    <t>1.2.2.</t>
  </si>
  <si>
    <t>Medienos kilmės biokuras</t>
  </si>
  <si>
    <r>
      <t>Lt/t</t>
    </r>
    <r>
      <rPr>
        <vertAlign val="subscript"/>
        <sz val="10"/>
        <color indexed="53"/>
        <rFont val="Times New Roman"/>
        <family val="1"/>
      </rPr>
      <t>ne</t>
    </r>
  </si>
  <si>
    <t>1.2.3.</t>
  </si>
  <si>
    <t>1.2.2.1.</t>
  </si>
  <si>
    <t>1.2.2.2.</t>
  </si>
  <si>
    <t>1.2.2.3.</t>
  </si>
  <si>
    <t>1.2.3.1.</t>
  </si>
  <si>
    <t>1.2.3.2.</t>
  </si>
  <si>
    <t>1.2.3.3.</t>
  </si>
  <si>
    <r>
      <t>Lt/tūkst.m</t>
    </r>
    <r>
      <rPr>
        <vertAlign val="superscript"/>
        <sz val="8"/>
        <color indexed="53"/>
        <rFont val="Times New Roman"/>
        <family val="1"/>
      </rPr>
      <t>3</t>
    </r>
  </si>
  <si>
    <t>1.3.</t>
  </si>
  <si>
    <t>Pirktos šilumos vidutinė kaina</t>
  </si>
  <si>
    <t>1.3.1.</t>
  </si>
  <si>
    <t>1.3.2.</t>
  </si>
  <si>
    <t>1.4.</t>
  </si>
  <si>
    <r>
      <t>T</t>
    </r>
    <r>
      <rPr>
        <b/>
        <vertAlign val="subscript"/>
        <sz val="9"/>
        <color indexed="8"/>
        <rFont val="Times New Roman"/>
        <family val="1"/>
      </rPr>
      <t>pt kd</t>
    </r>
  </si>
  <si>
    <t>1.4.1.</t>
  </si>
  <si>
    <t>vienanarės kainos pastovioji dedamoji</t>
  </si>
  <si>
    <t>1.4.2.</t>
  </si>
  <si>
    <t>vienanarės kainos kintamoji dedamoji</t>
  </si>
  <si>
    <t>1.5.</t>
  </si>
  <si>
    <t>patiektos į tinklą šilumos gamybos dvinarė kaina</t>
  </si>
  <si>
    <t>1.5.1.</t>
  </si>
  <si>
    <t>pastovioji kainos dalis</t>
  </si>
  <si>
    <t>Lt/kW per mėn.</t>
  </si>
  <si>
    <t>1.5.2.</t>
  </si>
  <si>
    <t>kintamoji kainos dalis (1.4.2.)</t>
  </si>
  <si>
    <t>ct/kWh</t>
  </si>
  <si>
    <t>2.</t>
  </si>
  <si>
    <t>ŠILUMOS PERDAVIMO KAINOS DEDAMOSIOS</t>
  </si>
  <si>
    <t>2.1.</t>
  </si>
  <si>
    <t>2.1.1.</t>
  </si>
  <si>
    <t>vienanarės šilumos perdavimo kainos pastovioji dedamoji</t>
  </si>
  <si>
    <t>2.1.2.</t>
  </si>
  <si>
    <t>vienanarės šilumos perdavimo kainos kintamojii dedamoji</t>
  </si>
  <si>
    <t>2.2.</t>
  </si>
  <si>
    <t>šilumos perdavimo  dvinarė kaina:</t>
  </si>
  <si>
    <t>2.2.1.</t>
  </si>
  <si>
    <t>2.2.2.</t>
  </si>
  <si>
    <t>kintamoji kainos dalis</t>
  </si>
  <si>
    <t>3.</t>
  </si>
  <si>
    <t>ŠILUMOS PARDAVIMO KAINA</t>
  </si>
  <si>
    <t>šilumos pardavimo kaina už suvartotą šilumos kiekį</t>
  </si>
  <si>
    <t>šilumos pardavimo kaina gyventojams</t>
  </si>
  <si>
    <t>Lt per mėn. vart.</t>
  </si>
  <si>
    <t>šilumos pardavimo kaina kitims vartotojams</t>
  </si>
  <si>
    <t>Lt per mėn. kt. vart.</t>
  </si>
  <si>
    <t>3.1.</t>
  </si>
  <si>
    <t>4.1.</t>
  </si>
  <si>
    <t>NEPADENGTOS KURO SĄNAUDOS</t>
  </si>
  <si>
    <t>4.2.</t>
  </si>
  <si>
    <t>PAPILDOMAI GAUTOS PAJAMOS</t>
  </si>
  <si>
    <t>5.</t>
  </si>
  <si>
    <t>6.</t>
  </si>
  <si>
    <t>Subsidijos dydis</t>
  </si>
  <si>
    <t>7.</t>
  </si>
  <si>
    <t>Galutinė šilumos vienanarė kaina (be PVM)</t>
  </si>
  <si>
    <t>8.</t>
  </si>
  <si>
    <t>Galutinė šilumos vienanarė kaina (su PVM)</t>
  </si>
  <si>
    <t>9.</t>
  </si>
  <si>
    <t>Galiojanti šilumos vienanarė kaina (be PVM)</t>
  </si>
  <si>
    <t>10.</t>
  </si>
  <si>
    <t>Apskaičiuotos kainos pokytis lyginant su galiojančia kaina</t>
  </si>
  <si>
    <t>proc.</t>
  </si>
  <si>
    <t>11.</t>
  </si>
  <si>
    <t>Praėjusį mėnesį savuose šaltiniuose faktiškai pagamintas šilumos kiekis</t>
  </si>
  <si>
    <t>tūkst. MWh</t>
  </si>
  <si>
    <t>12.</t>
  </si>
  <si>
    <t>Praėjusį mėnesį faktiškai realizuotas šilumos kiekis</t>
  </si>
  <si>
    <t>13.</t>
  </si>
  <si>
    <t>Praėjusį mėnesį faktiškai pirktos šilumos kiekis</t>
  </si>
  <si>
    <t xml:space="preserve">Akmens anglis </t>
  </si>
  <si>
    <t>Nepriklausomas gamintojas</t>
  </si>
  <si>
    <t>pirktos šilumos kaina</t>
  </si>
  <si>
    <t>x</t>
  </si>
  <si>
    <t>34 priedas</t>
  </si>
  <si>
    <t>KARŠTO VANDENS KAINOS DEDAMOSIOS</t>
  </si>
  <si>
    <t>karšto vandens kainos pastovioji dedamoji</t>
  </si>
  <si>
    <r>
      <t>Lt/m</t>
    </r>
    <r>
      <rPr>
        <vertAlign val="superscript"/>
        <sz val="8"/>
        <color indexed="8"/>
        <rFont val="Times New Roman"/>
        <family val="1"/>
      </rPr>
      <t>3</t>
    </r>
  </si>
  <si>
    <r>
      <t>T</t>
    </r>
    <r>
      <rPr>
        <vertAlign val="subscript"/>
        <sz val="10"/>
        <color indexed="8"/>
        <rFont val="Times New Roman"/>
        <family val="1"/>
      </rPr>
      <t>kv pd</t>
    </r>
  </si>
  <si>
    <t>karšto vandens kainos kintamoji dedamoji</t>
  </si>
  <si>
    <t>Šilumos kaina, naudojama karšto vandens kainos skaičiavimuose</t>
  </si>
  <si>
    <t>Geriamojo vandens tiekimo ir nuotekų tvarkymo paslaugų kaina</t>
  </si>
  <si>
    <t>4.</t>
  </si>
  <si>
    <t>Geriamojo vandens pardavimo kaina</t>
  </si>
  <si>
    <t>Galutinė karšto vandens  kaina (be PVM) (1.1.+1.2.)</t>
  </si>
  <si>
    <t xml:space="preserve">Galutinė karšto vandens  kaina (su PVM) </t>
  </si>
  <si>
    <t>Galiojanti karšto vandens kaina (be PVM)</t>
  </si>
  <si>
    <t>Apskaičiuotos kainos pokytis lyginant su galiojančia karšto vandens kaina</t>
  </si>
  <si>
    <r>
      <t>T</t>
    </r>
    <r>
      <rPr>
        <vertAlign val="subscript"/>
        <sz val="10"/>
        <color indexed="8"/>
        <rFont val="Times New Roman"/>
        <family val="1"/>
      </rPr>
      <t>kv</t>
    </r>
    <r>
      <rPr>
        <sz val="10"/>
        <color indexed="8"/>
        <rFont val="Times New Roman"/>
        <family val="1"/>
      </rPr>
      <t xml:space="preserve"> = T</t>
    </r>
    <r>
      <rPr>
        <vertAlign val="subscript"/>
        <sz val="10"/>
        <color indexed="8"/>
        <rFont val="Times New Roman"/>
        <family val="1"/>
      </rPr>
      <t>kv pd</t>
    </r>
    <r>
      <rPr>
        <sz val="10"/>
        <color indexed="8"/>
        <rFont val="Times New Roman"/>
        <family val="1"/>
      </rPr>
      <t xml:space="preserve"> + T</t>
    </r>
    <r>
      <rPr>
        <vertAlign val="subscript"/>
        <sz val="10"/>
        <color indexed="8"/>
        <rFont val="Times New Roman"/>
        <family val="1"/>
      </rPr>
      <t>kv kd</t>
    </r>
  </si>
  <si>
    <t>Laima Žarskutė</t>
  </si>
  <si>
    <t>Vyresnioji ekonomistė</t>
  </si>
  <si>
    <t>Tel. 8 381 59167</t>
  </si>
  <si>
    <t>el. paštas ast.laima@takas.lt</t>
  </si>
  <si>
    <r>
      <t xml:space="preserve">T </t>
    </r>
    <r>
      <rPr>
        <vertAlign val="subscript"/>
        <sz val="12"/>
        <color indexed="8"/>
        <rFont val="Times New Roman"/>
        <family val="1"/>
      </rPr>
      <t>g nš pd</t>
    </r>
    <r>
      <rPr>
        <sz val="12"/>
        <color indexed="8"/>
        <rFont val="Times New Roman"/>
        <family val="1"/>
      </rPr>
      <t xml:space="preserve"> </t>
    </r>
  </si>
  <si>
    <t>patiektos į tinklą šilumos gamybos vienanarė kaina (1.4.1.+1.4.2.)</t>
  </si>
  <si>
    <r>
      <t xml:space="preserve">T </t>
    </r>
    <r>
      <rPr>
        <vertAlign val="subscript"/>
        <sz val="12"/>
        <color indexed="8"/>
        <rFont val="Times New Roman"/>
        <family val="1"/>
      </rPr>
      <t>pt pd</t>
    </r>
    <r>
      <rPr>
        <sz val="12"/>
        <color indexed="8"/>
        <rFont val="Times New Roman"/>
        <family val="1"/>
      </rPr>
      <t xml:space="preserve"> </t>
    </r>
  </si>
  <si>
    <r>
      <t xml:space="preserve">T </t>
    </r>
    <r>
      <rPr>
        <vertAlign val="subscript"/>
        <sz val="12"/>
        <color indexed="8"/>
        <rFont val="Times New Roman"/>
        <family val="1"/>
      </rPr>
      <t>pr pd</t>
    </r>
    <r>
      <rPr>
        <sz val="12"/>
        <color indexed="8"/>
        <rFont val="Times New Roman"/>
        <family val="1"/>
      </rPr>
      <t xml:space="preserve"> </t>
    </r>
  </si>
  <si>
    <r>
      <t>T</t>
    </r>
    <r>
      <rPr>
        <vertAlign val="subscript"/>
        <sz val="12"/>
        <color indexed="8"/>
        <rFont val="Times New Roman"/>
        <family val="1"/>
      </rPr>
      <t>pr kd = 0,39 + 7,24 x Tpt / 37,6</t>
    </r>
  </si>
  <si>
    <r>
      <t xml:space="preserve">T </t>
    </r>
    <r>
      <rPr>
        <vertAlign val="subscript"/>
        <sz val="12"/>
        <color indexed="8"/>
        <rFont val="Times New Roman"/>
        <family val="1"/>
      </rPr>
      <t>pr kd</t>
    </r>
  </si>
  <si>
    <t>APSKAIČIUOTA ŠILUMOS VIENANARĖ KAINA (1.1.+2.1.+4.1.+4.2.)</t>
  </si>
  <si>
    <t>Duomenys apie kontaktinį asmenį</t>
  </si>
  <si>
    <r>
      <t xml:space="preserve">T </t>
    </r>
    <r>
      <rPr>
        <b/>
        <vertAlign val="subscript"/>
        <sz val="12"/>
        <color indexed="8"/>
        <rFont val="Times New Roman"/>
        <family val="1"/>
      </rPr>
      <t>g nš</t>
    </r>
    <r>
      <rPr>
        <b/>
        <sz val="12"/>
        <color indexed="8"/>
        <rFont val="Times New Roman"/>
        <family val="1"/>
      </rPr>
      <t xml:space="preserve"> =T </t>
    </r>
    <r>
      <rPr>
        <b/>
        <vertAlign val="subscript"/>
        <sz val="12"/>
        <color indexed="8"/>
        <rFont val="Times New Roman"/>
        <family val="1"/>
      </rPr>
      <t>g nš pd</t>
    </r>
    <r>
      <rPr>
        <b/>
        <sz val="12"/>
        <color indexed="8"/>
        <rFont val="Times New Roman"/>
        <family val="1"/>
      </rPr>
      <t xml:space="preserve"> + T </t>
    </r>
    <r>
      <rPr>
        <b/>
        <vertAlign val="subscript"/>
        <sz val="12"/>
        <color indexed="8"/>
        <rFont val="Times New Roman"/>
        <family val="1"/>
      </rPr>
      <t>g nš kd</t>
    </r>
  </si>
  <si>
    <r>
      <t xml:space="preserve">T </t>
    </r>
    <r>
      <rPr>
        <b/>
        <vertAlign val="subscript"/>
        <sz val="12"/>
        <color indexed="8"/>
        <rFont val="Times New Roman"/>
        <family val="1"/>
      </rPr>
      <t>pr</t>
    </r>
    <r>
      <rPr>
        <b/>
        <sz val="12"/>
        <color indexed="8"/>
        <rFont val="Times New Roman"/>
        <family val="1"/>
      </rPr>
      <t xml:space="preserve">  = T </t>
    </r>
    <r>
      <rPr>
        <b/>
        <vertAlign val="subscript"/>
        <sz val="12"/>
        <color indexed="8"/>
        <rFont val="Times New Roman"/>
        <family val="1"/>
      </rPr>
      <t>pr pd</t>
    </r>
    <r>
      <rPr>
        <b/>
        <sz val="12"/>
        <color indexed="8"/>
        <rFont val="Times New Roman"/>
        <family val="1"/>
      </rPr>
      <t xml:space="preserve"> + T </t>
    </r>
    <r>
      <rPr>
        <b/>
        <vertAlign val="subscript"/>
        <sz val="12"/>
        <color indexed="8"/>
        <rFont val="Times New Roman"/>
        <family val="1"/>
      </rPr>
      <t>pr kd</t>
    </r>
  </si>
  <si>
    <r>
      <t xml:space="preserve">T </t>
    </r>
    <r>
      <rPr>
        <b/>
        <vertAlign val="subscript"/>
        <sz val="12"/>
        <color indexed="8"/>
        <rFont val="Times New Roman"/>
        <family val="1"/>
      </rPr>
      <t>pt</t>
    </r>
    <r>
      <rPr>
        <b/>
        <sz val="12"/>
        <color indexed="8"/>
        <rFont val="Times New Roman"/>
        <family val="1"/>
      </rPr>
      <t xml:space="preserve"> = T </t>
    </r>
    <r>
      <rPr>
        <b/>
        <vertAlign val="subscript"/>
        <sz val="12"/>
        <color indexed="8"/>
        <rFont val="Times New Roman"/>
        <family val="1"/>
      </rPr>
      <t>pt pd</t>
    </r>
    <r>
      <rPr>
        <b/>
        <sz val="12"/>
        <color indexed="8"/>
        <rFont val="Times New Roman"/>
        <family val="1"/>
      </rPr>
      <t xml:space="preserve"> + T </t>
    </r>
    <r>
      <rPr>
        <b/>
        <vertAlign val="subscript"/>
        <sz val="12"/>
        <color indexed="8"/>
        <rFont val="Times New Roman"/>
        <family val="1"/>
      </rPr>
      <t>pt kd</t>
    </r>
  </si>
  <si>
    <t>šilumos perdavimo vienanarė kaina iki pastato šilumos įvado  (2.1.1.+2.1.2.)</t>
  </si>
  <si>
    <t>Šilumos gamybos savo šaltinyje vienanarė (1.1.1.+1.1.2.)</t>
  </si>
  <si>
    <t xml:space="preserve">                    ŠILUMOS KAINOS SKAIČIAVIMAS  2013 METŲ RUGPJŪČIO MĖNESIUI </t>
  </si>
  <si>
    <t xml:space="preserve">                  KARŠTO VANDENS KAINOS SKAIČIAVIMAS  2013 METŲ RUGPJŪČIO MĖNESIUI</t>
  </si>
  <si>
    <t>35 priedas</t>
  </si>
  <si>
    <r>
      <t>(52,25*T</t>
    </r>
    <r>
      <rPr>
        <vertAlign val="subscript"/>
        <sz val="10"/>
        <color indexed="8"/>
        <rFont val="Times New Roman"/>
        <family val="1"/>
      </rPr>
      <t>š</t>
    </r>
    <r>
      <rPr>
        <sz val="10"/>
        <color indexed="8"/>
        <rFont val="Times New Roman"/>
        <family val="1"/>
      </rPr>
      <t>)+(1,025*T</t>
    </r>
    <r>
      <rPr>
        <vertAlign val="subscript"/>
        <sz val="10"/>
        <color indexed="8"/>
        <rFont val="Times New Roman"/>
        <family val="1"/>
      </rPr>
      <t>gv</t>
    </r>
    <r>
      <rPr>
        <sz val="10"/>
        <color indexed="8"/>
        <rFont val="Times New Roman"/>
        <family val="1"/>
      </rPr>
      <t>)+(0,01*T</t>
    </r>
    <r>
      <rPr>
        <vertAlign val="subscript"/>
        <sz val="10"/>
        <color indexed="8"/>
        <rFont val="Times New Roman"/>
        <family val="1"/>
      </rPr>
      <t>gv pard</t>
    </r>
    <r>
      <rPr>
        <sz val="10"/>
        <color indexed="8"/>
        <rFont val="Times New Roman"/>
        <family val="1"/>
      </rPr>
      <t>)</t>
    </r>
  </si>
  <si>
    <t>X</t>
  </si>
  <si>
    <t>Direktorius</t>
  </si>
  <si>
    <t>Virgilijus Vaičiulis</t>
  </si>
  <si>
    <t>(sudarymo data)</t>
  </si>
  <si>
    <t>www.anyksciusiluma.lt</t>
  </si>
  <si>
    <t>.......................</t>
  </si>
  <si>
    <t>(parašas)</t>
  </si>
  <si>
    <t>Verkių g.25 c. Vilnius, rastine@regula.lt</t>
  </si>
  <si>
    <t xml:space="preserve">                    ŠILUMOS KAINOS SKAIČIAVIMAS  2013 METŲ RUGSĖJO  MĖNESIUI </t>
  </si>
  <si>
    <t xml:space="preserve">                  KARŠTO VANDENS KAINOS SKAIČIAVIMAS  2013 METŲ RUGSĖJO MĖNESIUI</t>
  </si>
  <si>
    <t xml:space="preserve">                  KARŠTO VANDENS KAINOS SKAIČIAVIMAS  2013 METŲ SPALIO MĖNESIUI</t>
  </si>
  <si>
    <t xml:space="preserve">                    ŠILUMOS KAINOS SKAIČIAVIMAS  2013 METŲ SPALIO   MĖNESIUI </t>
  </si>
  <si>
    <t>Laikinai einanatis direktoriaus pareigas</t>
  </si>
  <si>
    <t>Gintaras Strolia</t>
  </si>
  <si>
    <t>Anykščių rajono savivaldybės tarybos 2013-03-28 sprendimas Nr. 1 - TS - 114, VKEKK 2013-04-15 nutarimas Nr. O3-124.</t>
  </si>
  <si>
    <t>VKEKK 2013-02-28 nutarimas Nr.O3 - 61</t>
  </si>
  <si>
    <t xml:space="preserve">                    ŠILUMOS KAINOS SKAIČIAVIMAS  2013 METŲ lapkričio  MĖNESIUI </t>
  </si>
  <si>
    <t>Laikinai einantis direktoriaus pareigas</t>
  </si>
  <si>
    <t xml:space="preserve">                  KARŠTO VANDENS KAINOS SKAIČIAVIMAS  2013 METŲ  lapkričio  MĖNESIUI</t>
  </si>
  <si>
    <t xml:space="preserve">                  KARŠTO VANDENS KAINOS SKAIČIAVIMAS  2013 METŲ  gruodžio  MĖNESIUI</t>
  </si>
  <si>
    <t xml:space="preserve">                    ŠILUMOS KAINOS SKAIČIAVIMAS  2013 METŲ  gruodžio MĖNESIUI </t>
  </si>
  <si>
    <t>KARŠTO VANDENS KAINOS DEDAMOSIOS KITIEMS VARTOTOJAMS</t>
  </si>
  <si>
    <r>
      <t>(51*T</t>
    </r>
    <r>
      <rPr>
        <vertAlign val="subscript"/>
        <sz val="10"/>
        <color indexed="8"/>
        <rFont val="Times New Roman"/>
        <family val="1"/>
      </rPr>
      <t>š</t>
    </r>
    <r>
      <rPr>
        <sz val="10"/>
        <color indexed="8"/>
        <rFont val="Times New Roman"/>
        <family val="1"/>
      </rPr>
      <t>)+(1,*T</t>
    </r>
    <r>
      <rPr>
        <vertAlign val="subscript"/>
        <sz val="10"/>
        <color indexed="8"/>
        <rFont val="Times New Roman"/>
        <family val="1"/>
      </rPr>
      <t>gv</t>
    </r>
    <r>
      <rPr>
        <sz val="10"/>
        <color indexed="8"/>
        <rFont val="Times New Roman"/>
        <family val="1"/>
      </rPr>
      <t>)+(0,01*T</t>
    </r>
    <r>
      <rPr>
        <vertAlign val="subscript"/>
        <sz val="10"/>
        <color indexed="8"/>
        <rFont val="Times New Roman"/>
        <family val="1"/>
      </rPr>
      <t>gv pard</t>
    </r>
    <r>
      <rPr>
        <sz val="10"/>
        <color indexed="8"/>
        <rFont val="Times New Roman"/>
        <family val="1"/>
      </rPr>
      <t>)</t>
    </r>
  </si>
  <si>
    <t>I.</t>
  </si>
  <si>
    <t>II.</t>
  </si>
  <si>
    <t>Papildoma informacija:</t>
  </si>
  <si>
    <r>
      <t>Pildant spalio mėnesio biokuro suvestinės formą (regula.lt)   biokuro kaina (bendra) buvo 2</t>
    </r>
    <r>
      <rPr>
        <b/>
        <i/>
        <sz val="10"/>
        <color indexed="8"/>
        <rFont val="Calibri"/>
        <family val="2"/>
      </rPr>
      <t>99,59  Lt/ t ne , gauta neįvertinus centų.</t>
    </r>
  </si>
  <si>
    <t>Pildant 34 priedą, įvertinus visas išlaidas biokurui įsigyti, bendra biokuro kaina - 299,62 Lt/ t ne, kuri ir taikoma nustatant gruodžio mėnesio mėnesio šilumos kainą.</t>
  </si>
  <si>
    <t>KARŠTO VANDENS KAINOS DEDAMOSIOS  DAUGIABUČIUOSE NAMUOSE</t>
  </si>
  <si>
    <t xml:space="preserve">                    ŠILUMOS KAINOS SKAIČIAVIMAS  2014 METŲ   sausio   MĖNESIUI </t>
  </si>
  <si>
    <t xml:space="preserve">                  KARŠTO VANDENS KAINOS SKAIČIAVIMAS  2014 METŲ  sausio   MĖNESIUI</t>
  </si>
  <si>
    <t>Verkių g.25 c. Vilnius, rastine@regula.lt, faksas (8 5)213 5270</t>
  </si>
  <si>
    <t xml:space="preserve">                  KARŠTO VANDENS KAINOS SKAIČIAVIMAS  2014 METŲ  vasario  MĖNESIUI</t>
  </si>
  <si>
    <t xml:space="preserve">                    ŠILUMOS KAINOS SKAIČIAVIMAS  2014 METŲ   vasario   MĖNESIUI </t>
  </si>
  <si>
    <t>Medienos kilmės biokuras (Pjuvenos)</t>
  </si>
  <si>
    <t xml:space="preserve">Mediena   </t>
  </si>
  <si>
    <t>APSKAIČIUOTA ŠILUMOS VIENANARĖ KAINA (1.1.+2.1.+3.1.+4.1.+4.2.)</t>
  </si>
  <si>
    <t xml:space="preserve">                    ŠILUMOS KAINOS SKAIČIAVIMAS  2014 METŲ   kovo   MĖNESIUI </t>
  </si>
  <si>
    <t xml:space="preserve">                  KARŠTO VANDENS KAINOS SKAIČIAVIMAS  2014 METŲ  kovo   MĖNESIUI</t>
  </si>
  <si>
    <t xml:space="preserve">                    ŠILUMOS KAINOS SKAIČIAVIMAS  2014 METŲ   balandžio MĖNESIUI </t>
  </si>
  <si>
    <t xml:space="preserve">                  KARŠTO VANDENS KAINOS SKAIČIAVIMAS  2014 METŲ  balandžio   MĖNESIUI</t>
  </si>
  <si>
    <t>VKEKK 2014-02-14 nutarimas Nr.O3 - 50</t>
  </si>
  <si>
    <r>
      <t>(52,69*T</t>
    </r>
    <r>
      <rPr>
        <vertAlign val="subscript"/>
        <sz val="10"/>
        <color indexed="8"/>
        <rFont val="Times New Roman"/>
        <family val="1"/>
      </rPr>
      <t>š</t>
    </r>
    <r>
      <rPr>
        <sz val="10"/>
        <color indexed="8"/>
        <rFont val="Times New Roman"/>
        <family val="1"/>
      </rPr>
      <t>)+(1,03*T</t>
    </r>
    <r>
      <rPr>
        <vertAlign val="subscript"/>
        <sz val="10"/>
        <color indexed="8"/>
        <rFont val="Times New Roman"/>
        <family val="1"/>
      </rPr>
      <t>gv</t>
    </r>
    <r>
      <rPr>
        <sz val="10"/>
        <color indexed="8"/>
        <rFont val="Times New Roman"/>
        <family val="1"/>
      </rPr>
      <t>)+(0,032*T</t>
    </r>
    <r>
      <rPr>
        <vertAlign val="subscript"/>
        <sz val="10"/>
        <color indexed="8"/>
        <rFont val="Times New Roman"/>
        <family val="1"/>
      </rPr>
      <t>gv pard</t>
    </r>
    <r>
      <rPr>
        <sz val="10"/>
        <color indexed="8"/>
        <rFont val="Times New Roman"/>
        <family val="1"/>
      </rPr>
      <t>)</t>
    </r>
  </si>
  <si>
    <r>
      <t>(51*T</t>
    </r>
    <r>
      <rPr>
        <vertAlign val="subscript"/>
        <sz val="10"/>
        <color indexed="8"/>
        <rFont val="Times New Roman"/>
        <family val="1"/>
      </rPr>
      <t>š</t>
    </r>
    <r>
      <rPr>
        <sz val="10"/>
        <color indexed="8"/>
        <rFont val="Times New Roman"/>
        <family val="1"/>
      </rPr>
      <t>)+(1,*T</t>
    </r>
    <r>
      <rPr>
        <vertAlign val="subscript"/>
        <sz val="10"/>
        <color indexed="8"/>
        <rFont val="Times New Roman"/>
        <family val="1"/>
      </rPr>
      <t>gv</t>
    </r>
    <r>
      <rPr>
        <sz val="10"/>
        <color indexed="8"/>
        <rFont val="Times New Roman"/>
        <family val="1"/>
      </rPr>
      <t>)+(0,032*T</t>
    </r>
    <r>
      <rPr>
        <vertAlign val="subscript"/>
        <sz val="10"/>
        <color indexed="8"/>
        <rFont val="Times New Roman"/>
        <family val="1"/>
      </rPr>
      <t>gv pard</t>
    </r>
    <r>
      <rPr>
        <sz val="10"/>
        <color indexed="8"/>
        <rFont val="Times New Roman"/>
        <family val="1"/>
      </rPr>
      <t>)</t>
    </r>
  </si>
  <si>
    <t xml:space="preserve">                    ŠILUMOS KAINOS SKAIČIAVIMAS  2014 METŲ   gegužės MĖNESIUI </t>
  </si>
  <si>
    <r>
      <t>T</t>
    </r>
    <r>
      <rPr>
        <vertAlign val="subscript"/>
        <sz val="8"/>
        <color indexed="8"/>
        <rFont val="Calibri"/>
        <family val="2"/>
      </rPr>
      <t>nš kd</t>
    </r>
    <r>
      <rPr>
        <vertAlign val="subscript"/>
        <sz val="11"/>
        <color indexed="8"/>
        <rFont val="Times New Roman"/>
        <family val="1"/>
      </rPr>
      <t>= 0,29+(4325,0 x T</t>
    </r>
    <r>
      <rPr>
        <vertAlign val="subscript"/>
        <sz val="8"/>
        <color indexed="8"/>
        <rFont val="Times New Roman"/>
        <family val="1"/>
      </rPr>
      <t>d</t>
    </r>
    <r>
      <rPr>
        <vertAlign val="subscript"/>
        <sz val="11"/>
        <color indexed="8"/>
        <rFont val="Times New Roman"/>
        <family val="1"/>
      </rPr>
      <t xml:space="preserve"> + 226,0 x T</t>
    </r>
    <r>
      <rPr>
        <vertAlign val="subscript"/>
        <sz val="8"/>
        <color indexed="8"/>
        <rFont val="Times New Roman"/>
        <family val="1"/>
      </rPr>
      <t>med</t>
    </r>
    <r>
      <rPr>
        <vertAlign val="subscript"/>
        <sz val="11"/>
        <color indexed="8"/>
        <rFont val="Times New Roman"/>
        <family val="1"/>
      </rPr>
      <t xml:space="preserve"> + 509,0 x T</t>
    </r>
    <r>
      <rPr>
        <vertAlign val="subscript"/>
        <sz val="8"/>
        <color indexed="8"/>
        <rFont val="Times New Roman"/>
        <family val="1"/>
      </rPr>
      <t>a</t>
    </r>
    <r>
      <rPr>
        <vertAlign val="subscript"/>
        <sz val="11"/>
        <color indexed="8"/>
        <rFont val="Times New Roman"/>
        <family val="1"/>
      </rPr>
      <t xml:space="preserve"> + 106,1 x T</t>
    </r>
    <r>
      <rPr>
        <vertAlign val="subscript"/>
        <sz val="8"/>
        <color indexed="8"/>
        <rFont val="Times New Roman"/>
        <family val="1"/>
      </rPr>
      <t>pj</t>
    </r>
    <r>
      <rPr>
        <vertAlign val="subscript"/>
        <sz val="11"/>
        <color indexed="8"/>
        <rFont val="Times New Roman"/>
        <family val="1"/>
      </rPr>
      <t>)  / (44,84 x 10000)</t>
    </r>
  </si>
  <si>
    <r>
      <t>T</t>
    </r>
    <r>
      <rPr>
        <vertAlign val="subscript"/>
        <sz val="12"/>
        <color indexed="8"/>
        <rFont val="Times New Roman"/>
        <family val="1"/>
      </rPr>
      <t>pr kd = 0,41 + 7,24 x Tpt / 37,6</t>
    </r>
  </si>
  <si>
    <t xml:space="preserve">                  KARŠTO VANDENS KAINOS SKAIČIAVIMAS  2014 METŲ  gegužės  MĖNESIUI</t>
  </si>
  <si>
    <t>Tarybos 2013-01-30 sprendimas Nr. 1 - TS - 28, 2014-03-27  Nr.1-TS-146,  VKEKK 2013-04-15 nutarimas Nr. O3-124, Nr. O3-107</t>
  </si>
  <si>
    <t xml:space="preserve">                    ŠILUMOS KAINOS SKAIČIAVIMAS  2014 METŲ   birželio   MĖNESIUI </t>
  </si>
  <si>
    <t xml:space="preserve">                  KARŠTO VANDENS KAINOS SKAIČIAVIMAS  2014 METŲ birželio   MĖNESIUI</t>
  </si>
  <si>
    <t xml:space="preserve">                  KARŠTO VANDENS KAINOS SKAIČIAVIMAS  2014 METŲ liepos    MĖNESIUI</t>
  </si>
  <si>
    <t xml:space="preserve">                    ŠILUMOS KAINOS SKAIČIAVIMAS  2014 METŲ   liepos   MĖNESIUI </t>
  </si>
  <si>
    <t xml:space="preserve">                    ŠILUMOS KAINOS SKAIČIAVIMAS  2014 METŲ   rugpjūčio    MĖNESIUI </t>
  </si>
  <si>
    <t xml:space="preserve">                  KARŠTO VANDENS KAINOS SKAIČIAVIMAS  2014 METŲ rugpjūčio   MĖNESIUI</t>
  </si>
  <si>
    <r>
      <t xml:space="preserve">VKEKK 2014-02-14 nutarimas Nr.O3 - 50, </t>
    </r>
    <r>
      <rPr>
        <b/>
        <i/>
        <sz val="11"/>
        <color indexed="60"/>
        <rFont val="Calibri"/>
        <family val="2"/>
      </rPr>
      <t>savivaldybės 2014-06-26 sprendimas Nr.1-TS-229</t>
    </r>
  </si>
  <si>
    <t xml:space="preserve">                    ŠILUMOS KAINOS SKAIČIAVIMAS  2014 METŲ   rugsėjo    MĖNESIUI </t>
  </si>
  <si>
    <t xml:space="preserve">                  KARŠTO VANDENS KAINOS SKAIČIAVIMAS  2014 METŲ rugsėjo    MĖNESIUI</t>
  </si>
  <si>
    <t>Pastaba:gamtinių dujų duomenys sistemoje "Regula" buvo apvalinami, todėl pridedama PVM - sąskaita faktūra už 2014 metų liepos mėnesį, kurie yra patikslinti</t>
  </si>
  <si>
    <t>euro ct/kWh</t>
  </si>
  <si>
    <r>
      <t>Euro/m</t>
    </r>
    <r>
      <rPr>
        <vertAlign val="superscript"/>
        <sz val="8"/>
        <color indexed="30"/>
        <rFont val="Times New Roman"/>
        <family val="1"/>
      </rPr>
      <t>3</t>
    </r>
  </si>
  <si>
    <t xml:space="preserve">                    ŠILUMOS KAINOS SKAIČIAVIMAS  2014 METŲ  spalio  MĖNESIUI </t>
  </si>
  <si>
    <t xml:space="preserve">                  KARŠTO VANDENS KAINOS SKAIČIAVIMAS  2014 METŲ spalio    MĖNESIUI</t>
  </si>
  <si>
    <t xml:space="preserve"> </t>
  </si>
  <si>
    <t xml:space="preserve">                    ŠILUMOS KAINOS SKAIČIAVIMAS  2014 METŲ  lapkričio   MĖNESIUI </t>
  </si>
  <si>
    <t>Violeta Labutienė</t>
  </si>
  <si>
    <t>el. paštas: violeta@anyksciusiluma.lt</t>
  </si>
  <si>
    <t>šilumos pardavimo kaina kitiems vartotojams</t>
  </si>
  <si>
    <t>el. paštas violeta@anyksciusiluma.lt</t>
  </si>
  <si>
    <t xml:space="preserve">                  KARŠTO VANDENS KAINOS SKAIČIAVIMAS  2014 METŲ lapkričio  MĖNESIUI</t>
  </si>
  <si>
    <t xml:space="preserve">                    ŠILUMOS KAINOS SKAIČIAVIMAS  2014 METŲ  gruodžio  MĖNESIUI </t>
  </si>
  <si>
    <t xml:space="preserve">                  KARŠTO VANDENS KAINOS SKAIČIAVIMAS  2014 METŲ gruodžio   MĖNESIUI</t>
  </si>
  <si>
    <t>Jūratė Butkuvienė</t>
  </si>
  <si>
    <t xml:space="preserve">                    ŠILUMOS KAINOS SKAIČIAVIMAS  2015 METŲ  sausio  MĖNESIUI </t>
  </si>
  <si>
    <t xml:space="preserve">                  KARŠTO VANDENS KAINOS SKAIČIAVIMAS  2015 METŲ sausio   MĖNESIUI</t>
  </si>
  <si>
    <t xml:space="preserve">                    ŠILUMOS KAINOS SKAIČIAVIMAS  2015 METŲ  vasario  MĖNESIUI </t>
  </si>
  <si>
    <r>
      <t>Eur/tūkst.m</t>
    </r>
    <r>
      <rPr>
        <vertAlign val="superscript"/>
        <sz val="8"/>
        <color indexed="53"/>
        <rFont val="Times New Roman"/>
        <family val="1"/>
      </rPr>
      <t>3</t>
    </r>
  </si>
  <si>
    <r>
      <t>Eur/t</t>
    </r>
    <r>
      <rPr>
        <vertAlign val="subscript"/>
        <sz val="10"/>
        <color indexed="53"/>
        <rFont val="Times New Roman"/>
        <family val="1"/>
      </rPr>
      <t>ne</t>
    </r>
  </si>
  <si>
    <t>EUR/kW per mėn.</t>
  </si>
  <si>
    <t>EUR per mėn. vart.</t>
  </si>
  <si>
    <t>EUR per mėn. kt. vart.</t>
  </si>
  <si>
    <t xml:space="preserve">                  KARŠTO VANDENS KAINOS SKAIČIAVIMAS  2015 METŲ VASARIO  MĖNESIUI</t>
  </si>
  <si>
    <r>
      <t>EUR/m</t>
    </r>
    <r>
      <rPr>
        <vertAlign val="superscript"/>
        <sz val="8"/>
        <color indexed="8"/>
        <rFont val="Times New Roman"/>
        <family val="1"/>
      </rPr>
      <t>3</t>
    </r>
  </si>
  <si>
    <t>ast.info@takas.lt</t>
  </si>
  <si>
    <t>el. paštas jurate@anyksciusiluma.lt</t>
  </si>
  <si>
    <t>Tarybos 2014-10-30 sprendimas Nr. 1 - TS -347,  VKEKK 2014-12-19 nutarimas Nr. O3-948</t>
  </si>
  <si>
    <r>
      <t>T</t>
    </r>
    <r>
      <rPr>
        <vertAlign val="subscript"/>
        <sz val="8"/>
        <color indexed="8"/>
        <rFont val="Calibri"/>
        <family val="2"/>
      </rPr>
      <t>nš kd</t>
    </r>
    <r>
      <rPr>
        <vertAlign val="subscript"/>
        <sz val="11"/>
        <color indexed="8"/>
        <rFont val="Times New Roman"/>
        <family val="1"/>
      </rPr>
      <t>= 0,08+(4325,0 x T</t>
    </r>
    <r>
      <rPr>
        <vertAlign val="subscript"/>
        <sz val="8"/>
        <color indexed="8"/>
        <rFont val="Times New Roman"/>
        <family val="1"/>
      </rPr>
      <t>d</t>
    </r>
    <r>
      <rPr>
        <vertAlign val="subscript"/>
        <sz val="11"/>
        <color indexed="8"/>
        <rFont val="Times New Roman"/>
        <family val="1"/>
      </rPr>
      <t xml:space="preserve"> + 226,0 x T</t>
    </r>
    <r>
      <rPr>
        <vertAlign val="subscript"/>
        <sz val="8"/>
        <color indexed="8"/>
        <rFont val="Times New Roman"/>
        <family val="1"/>
      </rPr>
      <t>med</t>
    </r>
    <r>
      <rPr>
        <vertAlign val="subscript"/>
        <sz val="11"/>
        <color indexed="8"/>
        <rFont val="Times New Roman"/>
        <family val="1"/>
      </rPr>
      <t xml:space="preserve"> + 509,0 x T</t>
    </r>
    <r>
      <rPr>
        <vertAlign val="subscript"/>
        <sz val="8"/>
        <color indexed="8"/>
        <rFont val="Times New Roman"/>
        <family val="1"/>
      </rPr>
      <t>a</t>
    </r>
    <r>
      <rPr>
        <vertAlign val="subscript"/>
        <sz val="11"/>
        <color indexed="8"/>
        <rFont val="Times New Roman"/>
        <family val="1"/>
      </rPr>
      <t xml:space="preserve"> + 106,1 x T</t>
    </r>
    <r>
      <rPr>
        <vertAlign val="subscript"/>
        <sz val="8"/>
        <color indexed="8"/>
        <rFont val="Times New Roman"/>
        <family val="1"/>
      </rPr>
      <t>pj</t>
    </r>
    <r>
      <rPr>
        <vertAlign val="subscript"/>
        <sz val="11"/>
        <color indexed="8"/>
        <rFont val="Times New Roman"/>
        <family val="1"/>
      </rPr>
      <t>)  / (44,84 x 10000)</t>
    </r>
  </si>
  <si>
    <r>
      <t>T</t>
    </r>
    <r>
      <rPr>
        <vertAlign val="subscript"/>
        <sz val="12"/>
        <color indexed="8"/>
        <rFont val="Times New Roman"/>
        <family val="1"/>
      </rPr>
      <t>pr kd = 0,12 + 7,24 x Tpt / 37,6</t>
    </r>
  </si>
  <si>
    <t>e.paštas ast.info@takas.lt</t>
  </si>
  <si>
    <r>
      <t xml:space="preserve">VKEKK 2014-08-28 nutarimas Nr.O3 -600, </t>
    </r>
    <r>
      <rPr>
        <b/>
        <i/>
        <sz val="11"/>
        <color indexed="60"/>
        <rFont val="Calibri"/>
        <family val="2"/>
      </rPr>
      <t>savivaldybės tarybos 2014-10-30 sprendimas Nr.1-TS-381</t>
    </r>
  </si>
  <si>
    <r>
      <t>Euro/m</t>
    </r>
    <r>
      <rPr>
        <vertAlign val="superscript"/>
        <sz val="8"/>
        <rFont val="Times New Roman"/>
        <family val="1"/>
      </rPr>
      <t>3</t>
    </r>
  </si>
  <si>
    <r>
      <t>Lt/m</t>
    </r>
    <r>
      <rPr>
        <vertAlign val="superscript"/>
        <sz val="8"/>
        <color indexed="30"/>
        <rFont val="Times New Roman"/>
        <family val="1"/>
      </rPr>
      <t>3</t>
    </r>
  </si>
  <si>
    <r>
      <t>(51*T</t>
    </r>
    <r>
      <rPr>
        <vertAlign val="subscript"/>
        <sz val="10"/>
        <color indexed="8"/>
        <rFont val="Times New Roman"/>
        <family val="1"/>
      </rPr>
      <t>š</t>
    </r>
    <r>
      <rPr>
        <sz val="10"/>
        <color indexed="8"/>
        <rFont val="Times New Roman"/>
        <family val="1"/>
      </rPr>
      <t>)+(1,0*T</t>
    </r>
    <r>
      <rPr>
        <vertAlign val="subscript"/>
        <sz val="10"/>
        <color indexed="8"/>
        <rFont val="Times New Roman"/>
        <family val="1"/>
      </rPr>
      <t>gv</t>
    </r>
    <r>
      <rPr>
        <sz val="10"/>
        <color indexed="8"/>
        <rFont val="Times New Roman"/>
        <family val="1"/>
      </rPr>
      <t>)+(0,032*T</t>
    </r>
    <r>
      <rPr>
        <vertAlign val="subscript"/>
        <sz val="10"/>
        <color indexed="8"/>
        <rFont val="Times New Roman"/>
        <family val="1"/>
      </rPr>
      <t>gv pard</t>
    </r>
    <r>
      <rPr>
        <sz val="10"/>
        <color indexed="8"/>
        <rFont val="Times New Roman"/>
        <family val="1"/>
      </rPr>
      <t>)</t>
    </r>
  </si>
  <si>
    <t xml:space="preserve">                    ŠILUMOS KAINOS SKAIČIAVIMAS  2015 METŲ  kovo  MĖNESIUI </t>
  </si>
  <si>
    <r>
      <t>T</t>
    </r>
    <r>
      <rPr>
        <vertAlign val="subscript"/>
        <sz val="8"/>
        <color indexed="8"/>
        <rFont val="Calibri"/>
        <family val="2"/>
      </rPr>
      <t>nš kd</t>
    </r>
    <r>
      <rPr>
        <vertAlign val="subscript"/>
        <sz val="11"/>
        <color indexed="8"/>
        <rFont val="Times New Roman"/>
        <family val="1"/>
      </rPr>
      <t>= 0,08+(44951x T</t>
    </r>
    <r>
      <rPr>
        <vertAlign val="subscript"/>
        <sz val="8"/>
        <color indexed="8"/>
        <rFont val="Times New Roman"/>
        <family val="1"/>
      </rPr>
      <t>d</t>
    </r>
    <r>
      <rPr>
        <vertAlign val="subscript"/>
        <sz val="11"/>
        <color indexed="8"/>
        <rFont val="Times New Roman"/>
        <family val="1"/>
      </rPr>
      <t xml:space="preserve"> + 226,0 x T</t>
    </r>
    <r>
      <rPr>
        <vertAlign val="subscript"/>
        <sz val="8"/>
        <color indexed="8"/>
        <rFont val="Times New Roman"/>
        <family val="1"/>
      </rPr>
      <t>med</t>
    </r>
    <r>
      <rPr>
        <vertAlign val="subscript"/>
        <sz val="11"/>
        <color indexed="8"/>
        <rFont val="Times New Roman"/>
        <family val="1"/>
      </rPr>
      <t xml:space="preserve"> + 509,0 x T</t>
    </r>
    <r>
      <rPr>
        <vertAlign val="subscript"/>
        <sz val="8"/>
        <color indexed="8"/>
        <rFont val="Times New Roman"/>
        <family val="1"/>
      </rPr>
      <t>a</t>
    </r>
    <r>
      <rPr>
        <vertAlign val="subscript"/>
        <sz val="11"/>
        <color indexed="8"/>
        <rFont val="Times New Roman"/>
        <family val="1"/>
      </rPr>
      <t xml:space="preserve"> + 106,1 x T</t>
    </r>
    <r>
      <rPr>
        <vertAlign val="subscript"/>
        <sz val="8"/>
        <color indexed="8"/>
        <rFont val="Times New Roman"/>
        <family val="1"/>
      </rPr>
      <t>pj</t>
    </r>
    <r>
      <rPr>
        <vertAlign val="subscript"/>
        <sz val="11"/>
        <color indexed="8"/>
        <rFont val="Times New Roman"/>
        <family val="1"/>
      </rPr>
      <t>)  / (44,84 x 10000)</t>
    </r>
  </si>
  <si>
    <t>Eur/MWh</t>
  </si>
  <si>
    <t>šilumos gamybos savo šaltinyje kainos kintamoji dedamoji</t>
  </si>
  <si>
    <t xml:space="preserve">                  KARŠTO VANDENS KAINOS SKAIČIAVIMAS  2015 METŲ KOVO  MĖNESIUI</t>
  </si>
  <si>
    <r>
      <t xml:space="preserve">VKEKK 2014-07-28 nutarimas Nr.O3 -600, </t>
    </r>
    <r>
      <rPr>
        <b/>
        <i/>
        <sz val="11"/>
        <color indexed="60"/>
        <rFont val="Calibri"/>
        <family val="2"/>
      </rPr>
      <t>savivaldybės tarybos 2014-10-30 sprendimas Nr.1-TS-381</t>
    </r>
  </si>
  <si>
    <t>Energetikos, geriamojo vandens tiekimo ir nuotekų</t>
  </si>
  <si>
    <t>tvarkymo, paviršinių nuotekų tvarkymo įmonių</t>
  </si>
  <si>
    <t>informacijos teikimo taisyklių</t>
  </si>
  <si>
    <t>Duomenys apie ūkio subjektą:</t>
  </si>
  <si>
    <t>Duomenys apie kontaktinį asmenį:</t>
  </si>
  <si>
    <t>UAB „Anykščių šiluma"</t>
  </si>
  <si>
    <t>J.Butkuvienė</t>
  </si>
  <si>
    <t>vyresnioji ekonomistė</t>
  </si>
  <si>
    <t>Verkių g. 25C-1, Vilnius, LT-08223, rastine@regula. lt</t>
  </si>
  <si>
    <t xml:space="preserve">                    ŠILUMOS KAINOS SKAIČIAVIMAS  2015 METŲ  balandžio  MĖNESIUI </t>
  </si>
  <si>
    <t xml:space="preserve"> 2015-03-24</t>
  </si>
  <si>
    <t>31 priedas</t>
  </si>
  <si>
    <t>ŠILUMOS (PRODUKTO) GAMYBOS KAINOS DEDAMOSIOS</t>
  </si>
  <si>
    <t>šilumos (produkto) gamybos savo šaltiniuose kainos kintamoji dedamoji</t>
  </si>
  <si>
    <t>šilumos (produkto) gamybos savo šaltiniuose kainos pastovioji dedamoji</t>
  </si>
  <si>
    <r>
      <t xml:space="preserve">šilumos (produkto) gamybos savo šaltiniuose vienanarė kaina (kainos dedamosios) </t>
    </r>
    <r>
      <rPr>
        <sz val="8"/>
        <color indexed="8"/>
        <rFont val="Times New Roman"/>
        <family val="1"/>
      </rPr>
      <t>(1.1.1.+1.1.2.)</t>
    </r>
  </si>
  <si>
    <t>formulė</t>
  </si>
  <si>
    <r>
      <t>T</t>
    </r>
    <r>
      <rPr>
        <vertAlign val="subscript"/>
        <sz val="11"/>
        <color indexed="8"/>
        <rFont val="Times New Roman"/>
        <family val="1"/>
      </rPr>
      <t>HG</t>
    </r>
    <r>
      <rPr>
        <sz val="11"/>
        <color indexed="8"/>
        <rFont val="Times New Roman"/>
        <family val="1"/>
      </rPr>
      <t xml:space="preserve"> = T</t>
    </r>
    <r>
      <rPr>
        <vertAlign val="subscript"/>
        <sz val="11"/>
        <color indexed="8"/>
        <rFont val="Times New Roman"/>
        <family val="1"/>
      </rPr>
      <t>HG,PD</t>
    </r>
    <r>
      <rPr>
        <sz val="11"/>
        <color indexed="8"/>
        <rFont val="Times New Roman"/>
        <family val="1"/>
      </rPr>
      <t xml:space="preserve"> + T</t>
    </r>
    <r>
      <rPr>
        <vertAlign val="subscript"/>
        <sz val="11"/>
        <color indexed="8"/>
        <rFont val="Times New Roman"/>
        <family val="1"/>
      </rPr>
      <t>HG,KD</t>
    </r>
  </si>
  <si>
    <r>
      <t>T</t>
    </r>
    <r>
      <rPr>
        <vertAlign val="subscript"/>
        <sz val="11"/>
        <color indexed="8"/>
        <rFont val="Times New Roman"/>
        <family val="1"/>
      </rPr>
      <t>HG,PD</t>
    </r>
  </si>
  <si>
    <t>Kuro rūšys, naudojamos šilumos kainos kintamosios dedamosios skaičiavimuose</t>
  </si>
  <si>
    <t>1.2.4.</t>
  </si>
  <si>
    <t>1.2.4.1.</t>
  </si>
  <si>
    <t>1.2.4.2.</t>
  </si>
  <si>
    <t>1.2.4.3.</t>
  </si>
  <si>
    <t xml:space="preserve">šilumos įsigijimo (vidutinė) kaina </t>
  </si>
  <si>
    <t>nepriklausomas šilumos gamintojas</t>
  </si>
  <si>
    <t>šilumos įsigijimo kaina</t>
  </si>
  <si>
    <t>šilumos (produkto) gamybos (įsigijimo) vienanarė kaina (kainos dedamosios) (1.4.1.+1.4.2.)</t>
  </si>
  <si>
    <t>šilumos (produkto) gamybos (įsigijimo) dvinarė kaina:</t>
  </si>
  <si>
    <t>pastovioji kainos dalis (mėnesio užmokestis)</t>
  </si>
  <si>
    <t>Eur/kW per mėn.</t>
  </si>
  <si>
    <t>šilumos perdavimo vienanarė kaina (kainos dedamosios)  (2.1.1.+2.1.2.)</t>
  </si>
  <si>
    <t>šilumos perdavimo  dvinarė kaina (kainos dedamosios):</t>
  </si>
  <si>
    <t>kintamoji kainos dalis (2.1.2)</t>
  </si>
  <si>
    <t>MAŽMENINIO APTARNAVIMO KAINA (KAINOS DEDAMOSIOS)</t>
  </si>
  <si>
    <t>vartotojams už suvartotą šilumos kiekį</t>
  </si>
  <si>
    <t>3.2.</t>
  </si>
  <si>
    <t>3.3.</t>
  </si>
  <si>
    <r>
      <t>T</t>
    </r>
    <r>
      <rPr>
        <vertAlign val="subscript"/>
        <sz val="11"/>
        <color indexed="8"/>
        <rFont val="Times New Roman"/>
        <family val="1"/>
      </rPr>
      <t>HS,PD</t>
    </r>
  </si>
  <si>
    <t>PAPILDOMA KURO IR (AR) ŠILUMOS ĮSIGIJIMO IŠ NEPRIKLAUSOMŲ ŠILUMOS GAMINTOJŲ SĄNAUDŲ AR PAJAMŲ NEATITIKIMO DEDAMOJI</t>
  </si>
  <si>
    <t>APSKAIČIUOTA ŠILUMOS VIENANARĖ KAINA (KAINOS DEDAMOSIOS) (1.4.+2.1.+3.1.+4.1.+4.2.)</t>
  </si>
  <si>
    <t>euro ct/kWh (ct/kWh)</t>
  </si>
  <si>
    <t>Apskaičiuotas kainos pokytis, lyginant su galiojančia šilumos kaina</t>
  </si>
  <si>
    <t>tūkst. kWh</t>
  </si>
  <si>
    <t>Praėjusį mėnesį faktiškai į tinklą patiektas šilumos kiekis Anykščių r. sav.</t>
  </si>
  <si>
    <t>Praėjusį mėnesį faktiškai realizuotas šilumos kiekis Anykščių r. sav.</t>
  </si>
  <si>
    <t>Praėjusį mėnesį faktiškai pirktos iš nepriklausomų šilumos gamintojų šilumos kiekis</t>
  </si>
  <si>
    <t>Kodas - 154112751</t>
  </si>
  <si>
    <t>Buveinės adresas - Vairuotojų g. 11, 29107 Anykščiai</t>
  </si>
  <si>
    <t>Telefonas - 8 381 59165</t>
  </si>
  <si>
    <t>Faksas - 8 381 59441</t>
  </si>
  <si>
    <t>Tinklalapis - www.anyksciusiluma.lt</t>
  </si>
  <si>
    <t>El. paštas - ast.info@takas.lt</t>
  </si>
  <si>
    <t>Telefonas - 8 381 59167</t>
  </si>
  <si>
    <t>El. paštas - jurate@anyksciusiluma.lt</t>
  </si>
  <si>
    <r>
      <t>T</t>
    </r>
    <r>
      <rPr>
        <vertAlign val="subscript"/>
        <sz val="11"/>
        <color indexed="8"/>
        <rFont val="Times New Roman"/>
        <family val="1"/>
      </rPr>
      <t>H</t>
    </r>
    <r>
      <rPr>
        <sz val="11"/>
        <color indexed="8"/>
        <rFont val="Times New Roman"/>
        <family val="1"/>
      </rPr>
      <t>=T</t>
    </r>
    <r>
      <rPr>
        <vertAlign val="subscript"/>
        <sz val="11"/>
        <color indexed="8"/>
        <rFont val="Times New Roman"/>
        <family val="1"/>
      </rPr>
      <t>H,PD</t>
    </r>
    <r>
      <rPr>
        <sz val="11"/>
        <color indexed="8"/>
        <rFont val="Times New Roman"/>
        <family val="1"/>
      </rPr>
      <t xml:space="preserve"> +T</t>
    </r>
    <r>
      <rPr>
        <vertAlign val="subscript"/>
        <sz val="11"/>
        <color indexed="8"/>
        <rFont val="Times New Roman"/>
        <family val="1"/>
      </rPr>
      <t>H,KD</t>
    </r>
  </si>
  <si>
    <r>
      <t>T</t>
    </r>
    <r>
      <rPr>
        <vertAlign val="subscript"/>
        <sz val="11"/>
        <color indexed="8"/>
        <rFont val="Times New Roman"/>
        <family val="1"/>
      </rPr>
      <t>H,PD</t>
    </r>
  </si>
  <si>
    <r>
      <t>T</t>
    </r>
    <r>
      <rPr>
        <vertAlign val="subscript"/>
        <sz val="11"/>
        <color indexed="8"/>
        <rFont val="Times New Roman"/>
        <family val="1"/>
      </rPr>
      <t>H,KD</t>
    </r>
  </si>
  <si>
    <r>
      <t>T</t>
    </r>
    <r>
      <rPr>
        <vertAlign val="superscript"/>
        <sz val="11"/>
        <color indexed="8"/>
        <rFont val="Times New Roman"/>
        <family val="1"/>
      </rPr>
      <t>1</t>
    </r>
    <r>
      <rPr>
        <vertAlign val="subscript"/>
        <sz val="11"/>
        <color indexed="8"/>
        <rFont val="Times New Roman"/>
        <family val="1"/>
      </rPr>
      <t>H,PD</t>
    </r>
  </si>
  <si>
    <r>
      <t>T</t>
    </r>
    <r>
      <rPr>
        <vertAlign val="subscript"/>
        <sz val="11"/>
        <color indexed="8"/>
        <rFont val="Times New Roman"/>
        <family val="1"/>
      </rPr>
      <t>HT</t>
    </r>
    <r>
      <rPr>
        <sz val="11"/>
        <color indexed="8"/>
        <rFont val="Times New Roman"/>
        <family val="1"/>
      </rPr>
      <t xml:space="preserve"> = T</t>
    </r>
    <r>
      <rPr>
        <vertAlign val="subscript"/>
        <sz val="11"/>
        <color indexed="8"/>
        <rFont val="Times New Roman"/>
        <family val="1"/>
      </rPr>
      <t xml:space="preserve">HT,PD </t>
    </r>
    <r>
      <rPr>
        <sz val="11"/>
        <color indexed="8"/>
        <rFont val="Times New Roman"/>
        <family val="1"/>
      </rPr>
      <t>+ T</t>
    </r>
    <r>
      <rPr>
        <vertAlign val="subscript"/>
        <sz val="11"/>
        <color indexed="8"/>
        <rFont val="Times New Roman"/>
        <family val="1"/>
      </rPr>
      <t>HT,KD</t>
    </r>
  </si>
  <si>
    <r>
      <t>T</t>
    </r>
    <r>
      <rPr>
        <vertAlign val="subscript"/>
        <sz val="11"/>
        <color indexed="8"/>
        <rFont val="Times New Roman"/>
        <family val="1"/>
      </rPr>
      <t>HT,PD</t>
    </r>
  </si>
  <si>
    <r>
      <t>T</t>
    </r>
    <r>
      <rPr>
        <vertAlign val="superscript"/>
        <sz val="11"/>
        <color indexed="8"/>
        <rFont val="Times New Roman"/>
        <family val="1"/>
      </rPr>
      <t>1</t>
    </r>
    <r>
      <rPr>
        <vertAlign val="subscript"/>
        <sz val="11"/>
        <color indexed="8"/>
        <rFont val="Times New Roman"/>
        <family val="1"/>
      </rPr>
      <t>HT,PD</t>
    </r>
  </si>
  <si>
    <r>
      <t>T</t>
    </r>
    <r>
      <rPr>
        <vertAlign val="subscript"/>
        <sz val="11"/>
        <color indexed="8"/>
        <rFont val="Times New Roman"/>
        <family val="1"/>
      </rPr>
      <t>HT,KD</t>
    </r>
  </si>
  <si>
    <t xml:space="preserve">                  KARŠTO VANDENS KAINOS SKAIČIAVIMAS  2015 METŲ BALANDŽIO  MĖNESIUI</t>
  </si>
  <si>
    <t>32 priedas</t>
  </si>
  <si>
    <r>
      <t>Eur/m</t>
    </r>
    <r>
      <rPr>
        <vertAlign val="superscript"/>
        <sz val="8"/>
        <rFont val="Times New Roman"/>
        <family val="1"/>
      </rPr>
      <t>3</t>
    </r>
  </si>
  <si>
    <r>
      <t>Eur/m</t>
    </r>
    <r>
      <rPr>
        <vertAlign val="superscript"/>
        <sz val="8"/>
        <color indexed="8"/>
        <rFont val="Times New Roman"/>
        <family val="1"/>
      </rPr>
      <t>3</t>
    </r>
  </si>
  <si>
    <r>
      <t>Eur/t</t>
    </r>
    <r>
      <rPr>
        <vertAlign val="subscript"/>
        <sz val="10"/>
        <rFont val="Times New Roman"/>
        <family val="1"/>
      </rPr>
      <t>ne</t>
    </r>
  </si>
  <si>
    <t>kitiems vartotojams (mėnesio užmokestis)</t>
  </si>
  <si>
    <t xml:space="preserve">Eur/ mėn. </t>
  </si>
  <si>
    <t>gyventojams (butui) mėnesio užmokestis</t>
  </si>
  <si>
    <r>
      <t>T</t>
    </r>
    <r>
      <rPr>
        <vertAlign val="superscript"/>
        <sz val="11"/>
        <color indexed="8"/>
        <rFont val="Times New Roman"/>
        <family val="1"/>
      </rPr>
      <t>1</t>
    </r>
    <r>
      <rPr>
        <vertAlign val="subscript"/>
        <sz val="11"/>
        <color indexed="8"/>
        <rFont val="Times New Roman"/>
        <family val="1"/>
      </rPr>
      <t>HS,PD</t>
    </r>
  </si>
  <si>
    <r>
      <t>T</t>
    </r>
    <r>
      <rPr>
        <vertAlign val="superscript"/>
        <sz val="11"/>
        <color indexed="8"/>
        <rFont val="Times New Roman"/>
        <family val="1"/>
      </rPr>
      <t>2</t>
    </r>
    <r>
      <rPr>
        <vertAlign val="subscript"/>
        <sz val="11"/>
        <color indexed="8"/>
        <rFont val="Times New Roman"/>
        <family val="1"/>
      </rPr>
      <t>HS,PD</t>
    </r>
    <r>
      <rPr>
        <sz val="11"/>
        <color indexed="8"/>
        <rFont val="Times New Roman"/>
        <family val="1"/>
      </rPr>
      <t xml:space="preserve"> </t>
    </r>
  </si>
  <si>
    <t>Anykščių rajono savivaldybės tarybos 2014-01-30 sprendimas Nr. 1 - TS -28 (redakcija 2014-03-27 Nr.1-TS-146, 2014-10-30 Nr.1-TS-347),  VKEKK 2014-12-19 nutarimas Nr. O3-948</t>
  </si>
  <si>
    <t>2014-01-30 Nr.1-TS-28 (su pakeitimais)</t>
  </si>
  <si>
    <t>2014-05-01 - 2015-04-30</t>
  </si>
  <si>
    <r>
      <t>T</t>
    </r>
    <r>
      <rPr>
        <vertAlign val="subscript"/>
        <sz val="11"/>
        <color indexed="8"/>
        <rFont val="Times New Roman"/>
        <family val="1"/>
      </rPr>
      <t>HT,KD</t>
    </r>
  </si>
  <si>
    <r>
      <t>T</t>
    </r>
    <r>
      <rPr>
        <vertAlign val="subscript"/>
        <sz val="11"/>
        <color indexed="8"/>
        <rFont val="Times New Roman"/>
        <family val="1"/>
      </rPr>
      <t>HG,KD</t>
    </r>
  </si>
  <si>
    <t>formulė*</t>
  </si>
  <si>
    <t>* perskaičiuotas gamtinių dujų kiekis, naudojamas šilumos kainos kintamosios dedamosios perskaičiavime, yra 44951 MWh</t>
  </si>
  <si>
    <r>
      <t>T</t>
    </r>
    <r>
      <rPr>
        <vertAlign val="subscript"/>
        <sz val="8"/>
        <color indexed="8"/>
        <rFont val="Times New Roman"/>
        <family val="1"/>
      </rPr>
      <t>HG,KD</t>
    </r>
    <r>
      <rPr>
        <sz val="8"/>
        <color indexed="8"/>
        <rFont val="Times New Roman"/>
        <family val="1"/>
      </rPr>
      <t>= 0,08+(4325,0x Td + 226,0 x Tmed + 509,0 x Ta + 106,1 x Tpj)  / (44,84 x 10000)</t>
    </r>
  </si>
  <si>
    <r>
      <t>T</t>
    </r>
    <r>
      <rPr>
        <vertAlign val="subscript"/>
        <sz val="9"/>
        <color indexed="8"/>
        <rFont val="Times New Roman"/>
        <family val="1"/>
      </rPr>
      <t>HT,KD</t>
    </r>
    <r>
      <rPr>
        <sz val="9"/>
        <color indexed="8"/>
        <rFont val="Times New Roman"/>
        <family val="1"/>
      </rPr>
      <t xml:space="preserve"> = 0,12 + 7,24 x Tpt / 37,6</t>
    </r>
  </si>
  <si>
    <t>2014-06-26 Nr. 1-TS-229 (su pakeitimais)</t>
  </si>
  <si>
    <r>
      <t>Lt/m</t>
    </r>
    <r>
      <rPr>
        <vertAlign val="superscript"/>
        <sz val="8"/>
        <color indexed="30"/>
        <rFont val="Times New Roman"/>
        <family val="1"/>
      </rPr>
      <t>3</t>
    </r>
  </si>
  <si>
    <r>
      <t xml:space="preserve">VKEKK 2014-02-14 nutarimas Nr. O3-50 (redakcija 2014-07-28 Nr.O3 -600),Anykščių r. </t>
    </r>
    <r>
      <rPr>
        <b/>
        <i/>
        <sz val="10"/>
        <rFont val="Calibri"/>
        <family val="2"/>
      </rPr>
      <t>savivaldybės tarybos 2014-06-26 Nr. 1-TS-229 (redakcija 2014-10-30 sprendimas Nr.1-TS-381)</t>
    </r>
  </si>
  <si>
    <t xml:space="preserve">                    ŠILUMOS KAINOS SKAIČIAVIMAS  2015 METŲ  gegužės  MĖNESIUI </t>
  </si>
  <si>
    <t xml:space="preserve"> 2015-04-24</t>
  </si>
  <si>
    <t xml:space="preserve">                  KARŠTO VANDENS KAINOS SKAIČIAVIMAS  2015 METŲ GEGUŽĖS  MĖNESIUI</t>
  </si>
  <si>
    <t xml:space="preserve">                    ŠILUMOS KAINOS SKAIČIAVIMAS  2015 METŲ  birželio  MĖNESIUI </t>
  </si>
  <si>
    <t xml:space="preserve"> 2015-05-25</t>
  </si>
  <si>
    <t xml:space="preserve">                  KARŠTO VANDENS KAINOS SKAIČIAVIMAS  2015 METŲ birželio  MĖNESIUI</t>
  </si>
  <si>
    <r>
      <t xml:space="preserve">VKEKK 2015-04-30 nutarimas Nr. O3-275, Anykščių r. </t>
    </r>
    <r>
      <rPr>
        <b/>
        <i/>
        <sz val="10"/>
        <rFont val="Calibri"/>
        <family val="2"/>
      </rPr>
      <t>savivaldybės tarybos 2014-06-26 Nr. 1-TS-229 (redakcija 2014-10-30 sprendimas Nr.1-TS-381)</t>
    </r>
  </si>
  <si>
    <r>
      <t>(51,85*T</t>
    </r>
    <r>
      <rPr>
        <vertAlign val="subscript"/>
        <sz val="10"/>
        <color indexed="8"/>
        <rFont val="Times New Roman"/>
        <family val="1"/>
      </rPr>
      <t>š</t>
    </r>
    <r>
      <rPr>
        <sz val="10"/>
        <color indexed="8"/>
        <rFont val="Times New Roman"/>
        <family val="1"/>
      </rPr>
      <t>)+(1,017*T</t>
    </r>
    <r>
      <rPr>
        <vertAlign val="subscript"/>
        <sz val="10"/>
        <color indexed="8"/>
        <rFont val="Times New Roman"/>
        <family val="1"/>
      </rPr>
      <t>gv</t>
    </r>
    <r>
      <rPr>
        <sz val="10"/>
        <color indexed="8"/>
        <rFont val="Times New Roman"/>
        <family val="1"/>
      </rPr>
      <t>)+(0,034*T</t>
    </r>
    <r>
      <rPr>
        <vertAlign val="subscript"/>
        <sz val="10"/>
        <color indexed="8"/>
        <rFont val="Times New Roman"/>
        <family val="1"/>
      </rPr>
      <t>gv pard</t>
    </r>
    <r>
      <rPr>
        <sz val="10"/>
        <color indexed="8"/>
        <rFont val="Times New Roman"/>
        <family val="1"/>
      </rPr>
      <t>)</t>
    </r>
  </si>
  <si>
    <r>
      <t>(51*T</t>
    </r>
    <r>
      <rPr>
        <vertAlign val="subscript"/>
        <sz val="10"/>
        <color indexed="8"/>
        <rFont val="Times New Roman"/>
        <family val="1"/>
      </rPr>
      <t>š</t>
    </r>
    <r>
      <rPr>
        <sz val="10"/>
        <color indexed="8"/>
        <rFont val="Times New Roman"/>
        <family val="1"/>
      </rPr>
      <t>)+(1,0*T</t>
    </r>
    <r>
      <rPr>
        <vertAlign val="subscript"/>
        <sz val="10"/>
        <color indexed="8"/>
        <rFont val="Times New Roman"/>
        <family val="1"/>
      </rPr>
      <t>gv</t>
    </r>
    <r>
      <rPr>
        <sz val="10"/>
        <color indexed="8"/>
        <rFont val="Times New Roman"/>
        <family val="1"/>
      </rPr>
      <t>)+(0,034*T</t>
    </r>
    <r>
      <rPr>
        <vertAlign val="subscript"/>
        <sz val="10"/>
        <color indexed="8"/>
        <rFont val="Times New Roman"/>
        <family val="1"/>
      </rPr>
      <t>gv pard</t>
    </r>
    <r>
      <rPr>
        <sz val="10"/>
        <color indexed="8"/>
        <rFont val="Times New Roman"/>
        <family val="1"/>
      </rPr>
      <t>)</t>
    </r>
  </si>
  <si>
    <t xml:space="preserve">                    ŠILUMOS KAINOS SKAIČIAVIMAS  2015 METŲ  liepos  MĖNESIUI </t>
  </si>
  <si>
    <t xml:space="preserve">                  KARŠTO VANDENS KAINOS SKAIČIAVIMAS  2015 METŲ liepos  MĖNESIUI</t>
  </si>
  <si>
    <t>** Pridėtinės vertės mokesčio 9 procentų tarifas taikomas Lietuvos Respublikos Seimui priėmus Lietuvos Respublikos pridėtinės vertės mokesčio įstatymo Nr.IX-751 19 straipsnio pakeitimo įstatymą.</t>
  </si>
  <si>
    <t>Galutinė šilumos vienanarė kaina (su 9 proc. PVM)**</t>
  </si>
  <si>
    <t xml:space="preserve"> 2015-06-25</t>
  </si>
  <si>
    <t>Galutinė karšto vandens  kaina (su 9 % PVM) *</t>
  </si>
  <si>
    <t xml:space="preserve">* Pridėtinės vertės mokesčio 9 procentų tarifas taikomas Lietuvos Respublikos Seimui priėmus Lietuvos Respublikos pridėtinės vertės mokesčio įstatymo Nr.IX-751 19 straipsnio pakeitimo įstatymą. 
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</si>
</sst>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00"/>
    <numFmt numFmtId="181" formatCode="&quot;Taip&quot;;&quot;Taip&quot;;&quot;Ne&quot;"/>
    <numFmt numFmtId="182" formatCode="&quot;Teisinga&quot;;&quot;Teisinga&quot;;&quot;Klaidinga&quot;"/>
    <numFmt numFmtId="183" formatCode="[$€-2]\ ###,000_);[Red]\([$€-2]\ ###,000\)"/>
    <numFmt numFmtId="184" formatCode="0.0"/>
    <numFmt numFmtId="185" formatCode="0.0%"/>
    <numFmt numFmtId="186" formatCode="0.00000"/>
    <numFmt numFmtId="187" formatCode="0.0000"/>
    <numFmt numFmtId="188" formatCode="0.000000"/>
    <numFmt numFmtId="189" formatCode="0.0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</numFmts>
  <fonts count="13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sz val="11"/>
      <color indexed="8"/>
      <name val="Times New Roman"/>
      <family val="1"/>
    </font>
    <font>
      <vertAlign val="subscript"/>
      <sz val="8"/>
      <color indexed="8"/>
      <name val="Calibri"/>
      <family val="2"/>
    </font>
    <font>
      <vertAlign val="subscript"/>
      <sz val="11"/>
      <color indexed="8"/>
      <name val="Times New Roman"/>
      <family val="1"/>
    </font>
    <font>
      <vertAlign val="subscript"/>
      <sz val="8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53"/>
      <name val="Times New Roman"/>
      <family val="1"/>
    </font>
    <font>
      <vertAlign val="superscript"/>
      <sz val="8"/>
      <color indexed="53"/>
      <name val="Times New Roman"/>
      <family val="1"/>
    </font>
    <font>
      <b/>
      <sz val="6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bscript"/>
      <sz val="12"/>
      <color indexed="8"/>
      <name val="Times New Roman"/>
      <family val="1"/>
    </font>
    <font>
      <b/>
      <i/>
      <sz val="10"/>
      <color indexed="8"/>
      <name val="Calibri"/>
      <family val="2"/>
    </font>
    <font>
      <b/>
      <i/>
      <sz val="11"/>
      <color indexed="60"/>
      <name val="Calibri"/>
      <family val="2"/>
    </font>
    <font>
      <sz val="9"/>
      <color indexed="8"/>
      <name val="Times New Roman"/>
      <family val="1"/>
    </font>
    <font>
      <vertAlign val="superscript"/>
      <sz val="8"/>
      <color indexed="30"/>
      <name val="Times New Roman"/>
      <family val="1"/>
    </font>
    <font>
      <sz val="6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vertAlign val="superscript"/>
      <sz val="11"/>
      <color indexed="8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vertAlign val="subscript"/>
      <sz val="9"/>
      <color indexed="8"/>
      <name val="Times New Roman"/>
      <family val="1"/>
    </font>
    <font>
      <b/>
      <i/>
      <sz val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3"/>
      <name val="Times New Roman"/>
      <family val="1"/>
    </font>
    <font>
      <sz val="8"/>
      <color indexed="53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30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1"/>
      <color indexed="30"/>
      <name val="Calibri"/>
      <family val="2"/>
    </font>
    <font>
      <sz val="8"/>
      <color indexed="30"/>
      <name val="Times New Roman"/>
      <family val="1"/>
    </font>
    <font>
      <sz val="8"/>
      <color indexed="30"/>
      <name val="Calibri"/>
      <family val="2"/>
    </font>
    <font>
      <b/>
      <sz val="8"/>
      <color indexed="30"/>
      <name val="Calibri"/>
      <family val="2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u val="single"/>
      <sz val="9"/>
      <color indexed="12"/>
      <name val="Times New Roman"/>
      <family val="1"/>
    </font>
    <font>
      <b/>
      <sz val="11"/>
      <color indexed="8"/>
      <name val="Times New Roman"/>
      <family val="1"/>
    </font>
    <font>
      <u val="single"/>
      <sz val="8"/>
      <color indexed="12"/>
      <name val="Times New Roman"/>
      <family val="1"/>
    </font>
    <font>
      <b/>
      <sz val="11"/>
      <color indexed="30"/>
      <name val="Times New Roman"/>
      <family val="1"/>
    </font>
    <font>
      <sz val="11"/>
      <color indexed="30"/>
      <name val="Times New Roman"/>
      <family val="1"/>
    </font>
    <font>
      <sz val="9"/>
      <color indexed="30"/>
      <name val="Times New Roman"/>
      <family val="1"/>
    </font>
    <font>
      <sz val="7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6"/>
      <color theme="1"/>
      <name val="Times New Roman"/>
      <family val="1"/>
    </font>
    <font>
      <sz val="10"/>
      <color theme="9" tint="-0.24997000396251678"/>
      <name val="Times New Roman"/>
      <family val="1"/>
    </font>
    <font>
      <sz val="8"/>
      <color theme="9" tint="-0.24997000396251678"/>
      <name val="Times New Roman"/>
      <family val="1"/>
    </font>
    <font>
      <sz val="7"/>
      <color theme="1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7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000000"/>
      <name val="Arial"/>
      <family val="2"/>
    </font>
    <font>
      <b/>
      <sz val="8"/>
      <color rgb="FF0070C0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rgb="FF0070C0"/>
      <name val="Calibri"/>
      <family val="2"/>
    </font>
    <font>
      <sz val="8"/>
      <color rgb="FF0070C0"/>
      <name val="Times New Roman"/>
      <family val="1"/>
    </font>
    <font>
      <sz val="8"/>
      <color rgb="FF0070C0"/>
      <name val="Calibri"/>
      <family val="2"/>
    </font>
    <font>
      <b/>
      <sz val="8"/>
      <color rgb="FF0070C0"/>
      <name val="Calibri"/>
      <family val="2"/>
    </font>
    <font>
      <b/>
      <sz val="11"/>
      <color rgb="FF0070C0"/>
      <name val="Calibri"/>
      <family val="2"/>
    </font>
    <font>
      <sz val="11"/>
      <color rgb="FF0070C0"/>
      <name val="Calibri"/>
      <family val="2"/>
    </font>
    <font>
      <sz val="10"/>
      <color rgb="FF0000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u val="single"/>
      <sz val="9"/>
      <color theme="10"/>
      <name val="Times New Roman"/>
      <family val="1"/>
    </font>
    <font>
      <b/>
      <sz val="11"/>
      <color theme="1"/>
      <name val="Times New Roman"/>
      <family val="1"/>
    </font>
    <font>
      <u val="single"/>
      <sz val="8"/>
      <color theme="10"/>
      <name val="Times New Roman"/>
      <family val="1"/>
    </font>
    <font>
      <sz val="11"/>
      <color rgb="FF000000"/>
      <name val="Times New Roman"/>
      <family val="1"/>
    </font>
    <font>
      <b/>
      <sz val="11"/>
      <color rgb="FF0070C0"/>
      <name val="Times New Roman"/>
      <family val="1"/>
    </font>
    <font>
      <sz val="11"/>
      <color rgb="FF0070C0"/>
      <name val="Times New Roman"/>
      <family val="1"/>
    </font>
    <font>
      <sz val="9"/>
      <color rgb="FF0070C0"/>
      <name val="Times New Roman"/>
      <family val="1"/>
    </font>
    <font>
      <sz val="7"/>
      <color theme="1"/>
      <name val="Calibri"/>
      <family val="2"/>
    </font>
    <font>
      <b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>
        <color indexed="63"/>
      </bottom>
    </border>
    <border>
      <left style="medium"/>
      <right style="thin"/>
      <top style="thin"/>
      <bottom style="medium"/>
    </border>
    <border>
      <left/>
      <right/>
      <top style="thin">
        <color rgb="FF000000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>
        <color rgb="FF000000"/>
      </top>
      <bottom style="medium"/>
    </border>
    <border>
      <left/>
      <right/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0" borderId="1" applyNumberFormat="0" applyFill="0" applyAlignment="0" applyProtection="0"/>
    <xf numFmtId="0" fontId="78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79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0" borderId="0" applyNumberFormat="0" applyBorder="0" applyAlignment="0" applyProtection="0"/>
    <xf numFmtId="0" fontId="84" fillId="21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2" borderId="4" applyNumberFormat="0" applyAlignment="0" applyProtection="0"/>
    <xf numFmtId="0" fontId="87" fillId="0" borderId="0" applyNumberFormat="0" applyFill="0" applyBorder="0" applyAlignment="0" applyProtection="0"/>
    <xf numFmtId="0" fontId="88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24" borderId="0" applyNumberFormat="0" applyBorder="0" applyAlignment="0" applyProtection="0"/>
    <xf numFmtId="0" fontId="10" fillId="0" borderId="0">
      <alignment/>
      <protection/>
    </xf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0" fillId="31" borderId="6" applyNumberFormat="0" applyFont="0" applyAlignment="0" applyProtection="0"/>
    <xf numFmtId="0" fontId="9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1" fillId="22" borderId="5" applyNumberFormat="0" applyAlignment="0" applyProtection="0"/>
    <xf numFmtId="0" fontId="92" fillId="0" borderId="7" applyNumberFormat="0" applyFill="0" applyAlignment="0" applyProtection="0"/>
    <xf numFmtId="0" fontId="93" fillId="0" borderId="8" applyNumberFormat="0" applyFill="0" applyAlignment="0" applyProtection="0"/>
    <xf numFmtId="0" fontId="94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03">
    <xf numFmtId="0" fontId="0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2" fontId="98" fillId="0" borderId="10" xfId="48" applyNumberFormat="1" applyFont="1" applyFill="1" applyBorder="1" applyAlignment="1">
      <alignment horizontal="center"/>
      <protection/>
    </xf>
    <xf numFmtId="2" fontId="99" fillId="0" borderId="10" xfId="48" applyNumberFormat="1" applyFont="1" applyFill="1" applyBorder="1" applyAlignment="1">
      <alignment horizontal="center"/>
      <protection/>
    </xf>
    <xf numFmtId="0" fontId="95" fillId="5" borderId="0" xfId="0" applyFont="1" applyFill="1" applyAlignment="1">
      <alignment/>
    </xf>
    <xf numFmtId="0" fontId="0" fillId="5" borderId="0" xfId="0" applyFill="1" applyAlignment="1">
      <alignment/>
    </xf>
    <xf numFmtId="0" fontId="9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5" fillId="0" borderId="11" xfId="0" applyFont="1" applyBorder="1" applyAlignment="1">
      <alignment horizontal="left" indent="1"/>
    </xf>
    <xf numFmtId="0" fontId="15" fillId="0" borderId="11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indent="1"/>
    </xf>
    <xf numFmtId="0" fontId="3" fillId="0" borderId="11" xfId="0" applyFont="1" applyBorder="1" applyAlignment="1">
      <alignment horizontal="left" indent="2"/>
    </xf>
    <xf numFmtId="0" fontId="2" fillId="0" borderId="11" xfId="0" applyFont="1" applyBorder="1" applyAlignment="1">
      <alignment horizontal="left" indent="1"/>
    </xf>
    <xf numFmtId="0" fontId="2" fillId="0" borderId="13" xfId="0" applyFont="1" applyBorder="1" applyAlignment="1">
      <alignment horizontal="left" indent="1"/>
    </xf>
    <xf numFmtId="0" fontId="95" fillId="0" borderId="0" xfId="0" applyFont="1" applyBorder="1" applyAlignment="1">
      <alignment/>
    </xf>
    <xf numFmtId="0" fontId="95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indent="1"/>
    </xf>
    <xf numFmtId="0" fontId="95" fillId="0" borderId="11" xfId="0" applyFont="1" applyBorder="1" applyAlignment="1">
      <alignment/>
    </xf>
    <xf numFmtId="0" fontId="95" fillId="0" borderId="11" xfId="0" applyFont="1" applyBorder="1" applyAlignment="1">
      <alignment horizontal="center"/>
    </xf>
    <xf numFmtId="0" fontId="96" fillId="0" borderId="17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95" fillId="0" borderId="19" xfId="0" applyFont="1" applyBorder="1" applyAlignment="1">
      <alignment horizontal="center"/>
    </xf>
    <xf numFmtId="0" fontId="100" fillId="0" borderId="17" xfId="0" applyFont="1" applyBorder="1" applyAlignment="1">
      <alignment/>
    </xf>
    <xf numFmtId="0" fontId="97" fillId="0" borderId="17" xfId="0" applyFont="1" applyBorder="1" applyAlignment="1">
      <alignment/>
    </xf>
    <xf numFmtId="2" fontId="99" fillId="0" borderId="20" xfId="48" applyNumberFormat="1" applyFont="1" applyFill="1" applyBorder="1" applyAlignment="1">
      <alignment horizontal="center"/>
      <protection/>
    </xf>
    <xf numFmtId="0" fontId="95" fillId="0" borderId="17" xfId="0" applyFont="1" applyBorder="1" applyAlignment="1">
      <alignment/>
    </xf>
    <xf numFmtId="0" fontId="96" fillId="0" borderId="11" xfId="0" applyFont="1" applyBorder="1" applyAlignment="1">
      <alignment horizontal="center"/>
    </xf>
    <xf numFmtId="0" fontId="95" fillId="0" borderId="11" xfId="0" applyFont="1" applyBorder="1" applyAlignment="1">
      <alignment horizontal="center" vertical="center"/>
    </xf>
    <xf numFmtId="0" fontId="95" fillId="6" borderId="11" xfId="0" applyFont="1" applyFill="1" applyBorder="1" applyAlignment="1">
      <alignment horizontal="center"/>
    </xf>
    <xf numFmtId="0" fontId="95" fillId="4" borderId="11" xfId="0" applyFont="1" applyFill="1" applyBorder="1" applyAlignment="1">
      <alignment horizontal="center"/>
    </xf>
    <xf numFmtId="0" fontId="95" fillId="0" borderId="13" xfId="0" applyFont="1" applyBorder="1" applyAlignment="1">
      <alignment/>
    </xf>
    <xf numFmtId="2" fontId="99" fillId="0" borderId="21" xfId="48" applyNumberFormat="1" applyFont="1" applyFill="1" applyBorder="1" applyAlignment="1">
      <alignment horizontal="center"/>
      <protection/>
    </xf>
    <xf numFmtId="2" fontId="98" fillId="0" borderId="20" xfId="48" applyNumberFormat="1" applyFont="1" applyFill="1" applyBorder="1" applyAlignment="1">
      <alignment horizontal="center"/>
      <protection/>
    </xf>
    <xf numFmtId="0" fontId="95" fillId="6" borderId="19" xfId="0" applyFont="1" applyFill="1" applyBorder="1" applyAlignment="1">
      <alignment horizontal="center"/>
    </xf>
    <xf numFmtId="0" fontId="95" fillId="6" borderId="17" xfId="0" applyFont="1" applyFill="1" applyBorder="1" applyAlignment="1">
      <alignment/>
    </xf>
    <xf numFmtId="2" fontId="98" fillId="0" borderId="21" xfId="48" applyNumberFormat="1" applyFont="1" applyFill="1" applyBorder="1" applyAlignment="1">
      <alignment horizontal="center"/>
      <protection/>
    </xf>
    <xf numFmtId="0" fontId="95" fillId="0" borderId="22" xfId="0" applyFont="1" applyBorder="1" applyAlignment="1">
      <alignment/>
    </xf>
    <xf numFmtId="0" fontId="95" fillId="4" borderId="19" xfId="0" applyFont="1" applyFill="1" applyBorder="1" applyAlignment="1">
      <alignment horizontal="center"/>
    </xf>
    <xf numFmtId="0" fontId="95" fillId="4" borderId="17" xfId="0" applyFont="1" applyFill="1" applyBorder="1" applyAlignment="1">
      <alignment/>
    </xf>
    <xf numFmtId="0" fontId="95" fillId="3" borderId="11" xfId="0" applyFont="1" applyFill="1" applyBorder="1" applyAlignment="1">
      <alignment horizontal="center"/>
    </xf>
    <xf numFmtId="0" fontId="95" fillId="3" borderId="17" xfId="0" applyFont="1" applyFill="1" applyBorder="1" applyAlignment="1">
      <alignment horizontal="center"/>
    </xf>
    <xf numFmtId="0" fontId="95" fillId="3" borderId="17" xfId="0" applyFont="1" applyFill="1" applyBorder="1" applyAlignment="1">
      <alignment/>
    </xf>
    <xf numFmtId="0" fontId="95" fillId="5" borderId="11" xfId="0" applyFont="1" applyFill="1" applyBorder="1" applyAlignment="1">
      <alignment/>
    </xf>
    <xf numFmtId="0" fontId="95" fillId="5" borderId="19" xfId="0" applyFont="1" applyFill="1" applyBorder="1" applyAlignment="1">
      <alignment horizontal="center"/>
    </xf>
    <xf numFmtId="0" fontId="95" fillId="5" borderId="17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95" fillId="0" borderId="19" xfId="0" applyFont="1" applyBorder="1" applyAlignment="1">
      <alignment/>
    </xf>
    <xf numFmtId="2" fontId="4" fillId="0" borderId="11" xfId="0" applyNumberFormat="1" applyFont="1" applyFill="1" applyBorder="1" applyAlignment="1">
      <alignment horizontal="center"/>
    </xf>
    <xf numFmtId="0" fontId="101" fillId="0" borderId="24" xfId="0" applyFont="1" applyBorder="1" applyAlignment="1">
      <alignment horizontal="center"/>
    </xf>
    <xf numFmtId="0" fontId="102" fillId="0" borderId="24" xfId="0" applyFont="1" applyBorder="1" applyAlignment="1">
      <alignment/>
    </xf>
    <xf numFmtId="0" fontId="101" fillId="0" borderId="24" xfId="0" applyFont="1" applyBorder="1" applyAlignment="1">
      <alignment/>
    </xf>
    <xf numFmtId="0" fontId="101" fillId="0" borderId="11" xfId="0" applyFont="1" applyBorder="1" applyAlignment="1">
      <alignment/>
    </xf>
    <xf numFmtId="0" fontId="101" fillId="0" borderId="25" xfId="0" applyFont="1" applyBorder="1" applyAlignment="1">
      <alignment horizontal="center"/>
    </xf>
    <xf numFmtId="0" fontId="0" fillId="0" borderId="11" xfId="0" applyBorder="1" applyAlignment="1">
      <alignment/>
    </xf>
    <xf numFmtId="0" fontId="101" fillId="0" borderId="26" xfId="0" applyFont="1" applyBorder="1" applyAlignment="1">
      <alignment horizontal="center"/>
    </xf>
    <xf numFmtId="0" fontId="101" fillId="0" borderId="27" xfId="0" applyFont="1" applyBorder="1" applyAlignment="1">
      <alignment horizontal="center"/>
    </xf>
    <xf numFmtId="0" fontId="102" fillId="0" borderId="11" xfId="0" applyFont="1" applyBorder="1" applyAlignment="1">
      <alignment/>
    </xf>
    <xf numFmtId="0" fontId="95" fillId="0" borderId="0" xfId="0" applyFont="1" applyFill="1" applyBorder="1" applyAlignment="1">
      <alignment horizontal="center"/>
    </xf>
    <xf numFmtId="0" fontId="95" fillId="0" borderId="11" xfId="0" applyFont="1" applyFill="1" applyBorder="1" applyAlignment="1">
      <alignment horizontal="center"/>
    </xf>
    <xf numFmtId="0" fontId="103" fillId="0" borderId="28" xfId="0" applyFont="1" applyBorder="1" applyAlignment="1">
      <alignment horizontal="center"/>
    </xf>
    <xf numFmtId="0" fontId="103" fillId="0" borderId="29" xfId="0" applyFont="1" applyBorder="1" applyAlignment="1">
      <alignment horizontal="center"/>
    </xf>
    <xf numFmtId="0" fontId="102" fillId="0" borderId="25" xfId="0" applyFont="1" applyBorder="1" applyAlignment="1">
      <alignment/>
    </xf>
    <xf numFmtId="0" fontId="103" fillId="0" borderId="24" xfId="0" applyFont="1" applyBorder="1" applyAlignment="1">
      <alignment/>
    </xf>
    <xf numFmtId="0" fontId="104" fillId="0" borderId="0" xfId="0" applyFont="1" applyBorder="1" applyAlignment="1">
      <alignment/>
    </xf>
    <xf numFmtId="0" fontId="104" fillId="0" borderId="24" xfId="0" applyFont="1" applyBorder="1" applyAlignment="1">
      <alignment/>
    </xf>
    <xf numFmtId="0" fontId="103" fillId="0" borderId="30" xfId="0" applyFont="1" applyBorder="1" applyAlignment="1">
      <alignment horizontal="center"/>
    </xf>
    <xf numFmtId="0" fontId="103" fillId="0" borderId="11" xfId="0" applyFont="1" applyFill="1" applyBorder="1" applyAlignment="1">
      <alignment horizontal="center"/>
    </xf>
    <xf numFmtId="0" fontId="103" fillId="0" borderId="11" xfId="0" applyFont="1" applyBorder="1" applyAlignment="1">
      <alignment horizontal="center"/>
    </xf>
    <xf numFmtId="0" fontId="105" fillId="0" borderId="1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indent="1"/>
    </xf>
    <xf numFmtId="0" fontId="2" fillId="0" borderId="11" xfId="0" applyFont="1" applyFill="1" applyBorder="1" applyAlignment="1">
      <alignment horizontal="left" indent="1"/>
    </xf>
    <xf numFmtId="0" fontId="92" fillId="0" borderId="11" xfId="0" applyFont="1" applyBorder="1" applyAlignment="1">
      <alignment/>
    </xf>
    <xf numFmtId="0" fontId="2" fillId="0" borderId="22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106" fillId="0" borderId="0" xfId="0" applyFont="1" applyAlignment="1">
      <alignment/>
    </xf>
    <xf numFmtId="0" fontId="96" fillId="0" borderId="11" xfId="0" applyFont="1" applyBorder="1" applyAlignment="1">
      <alignment/>
    </xf>
    <xf numFmtId="2" fontId="19" fillId="0" borderId="18" xfId="0" applyNumberFormat="1" applyFont="1" applyFill="1" applyBorder="1" applyAlignment="1">
      <alignment horizontal="center" vertical="center"/>
    </xf>
    <xf numFmtId="0" fontId="107" fillId="0" borderId="0" xfId="0" applyFont="1" applyAlignment="1">
      <alignment horizontal="center"/>
    </xf>
    <xf numFmtId="0" fontId="108" fillId="0" borderId="13" xfId="0" applyFont="1" applyBorder="1" applyAlignment="1">
      <alignment/>
    </xf>
    <xf numFmtId="0" fontId="108" fillId="0" borderId="0" xfId="0" applyFont="1" applyAlignment="1">
      <alignment/>
    </xf>
    <xf numFmtId="0" fontId="109" fillId="0" borderId="0" xfId="0" applyFont="1" applyAlignment="1">
      <alignment/>
    </xf>
    <xf numFmtId="0" fontId="14" fillId="0" borderId="13" xfId="0" applyFont="1" applyBorder="1" applyAlignment="1">
      <alignment horizontal="center"/>
    </xf>
    <xf numFmtId="0" fontId="107" fillId="0" borderId="11" xfId="0" applyFont="1" applyBorder="1" applyAlignment="1">
      <alignment horizontal="center"/>
    </xf>
    <xf numFmtId="0" fontId="107" fillId="0" borderId="0" xfId="0" applyFont="1" applyAlignment="1">
      <alignment/>
    </xf>
    <xf numFmtId="14" fontId="0" fillId="0" borderId="0" xfId="0" applyNumberFormat="1" applyAlignment="1">
      <alignment/>
    </xf>
    <xf numFmtId="0" fontId="102" fillId="0" borderId="28" xfId="0" applyFont="1" applyFill="1" applyBorder="1" applyAlignment="1">
      <alignment horizontal="center"/>
    </xf>
    <xf numFmtId="0" fontId="101" fillId="0" borderId="11" xfId="0" applyFont="1" applyBorder="1" applyAlignment="1">
      <alignment horizontal="center"/>
    </xf>
    <xf numFmtId="0" fontId="10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10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95" fillId="0" borderId="11" xfId="0" applyFont="1" applyBorder="1" applyAlignment="1">
      <alignment horizontal="left" vertical="center"/>
    </xf>
    <xf numFmtId="14" fontId="108" fillId="0" borderId="0" xfId="0" applyNumberFormat="1" applyFont="1" applyAlignment="1">
      <alignment horizontal="center"/>
    </xf>
    <xf numFmtId="14" fontId="95" fillId="0" borderId="0" xfId="0" applyNumberFormat="1" applyFont="1" applyAlignment="1">
      <alignment horizontal="center"/>
    </xf>
    <xf numFmtId="0" fontId="85" fillId="0" borderId="0" xfId="41" applyAlignment="1" applyProtection="1">
      <alignment/>
      <protection/>
    </xf>
    <xf numFmtId="0" fontId="110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11" fillId="0" borderId="0" xfId="0" applyFont="1" applyAlignment="1">
      <alignment/>
    </xf>
    <xf numFmtId="0" fontId="0" fillId="0" borderId="0" xfId="0" applyFill="1" applyAlignment="1">
      <alignment/>
    </xf>
    <xf numFmtId="2" fontId="0" fillId="0" borderId="11" xfId="0" applyNumberFormat="1" applyBorder="1" applyAlignment="1">
      <alignment/>
    </xf>
    <xf numFmtId="2" fontId="92" fillId="0" borderId="11" xfId="0" applyNumberFormat="1" applyFont="1" applyBorder="1" applyAlignment="1">
      <alignment/>
    </xf>
    <xf numFmtId="2" fontId="92" fillId="0" borderId="11" xfId="0" applyNumberFormat="1" applyFont="1" applyBorder="1" applyAlignment="1">
      <alignment horizontal="center"/>
    </xf>
    <xf numFmtId="0" fontId="111" fillId="0" borderId="0" xfId="0" applyFont="1" applyAlignment="1">
      <alignment horizontal="center"/>
    </xf>
    <xf numFmtId="0" fontId="112" fillId="0" borderId="0" xfId="0" applyFont="1" applyAlignment="1">
      <alignment/>
    </xf>
    <xf numFmtId="0" fontId="95" fillId="0" borderId="32" xfId="0" applyFont="1" applyBorder="1" applyAlignment="1">
      <alignment horizontal="center"/>
    </xf>
    <xf numFmtId="0" fontId="95" fillId="0" borderId="33" xfId="0" applyFont="1" applyBorder="1" applyAlignment="1">
      <alignment horizontal="center"/>
    </xf>
    <xf numFmtId="0" fontId="95" fillId="0" borderId="34" xfId="0" applyFont="1" applyBorder="1" applyAlignment="1">
      <alignment horizontal="center"/>
    </xf>
    <xf numFmtId="0" fontId="95" fillId="0" borderId="35" xfId="0" applyFont="1" applyBorder="1" applyAlignment="1">
      <alignment horizontal="center"/>
    </xf>
    <xf numFmtId="0" fontId="95" fillId="0" borderId="12" xfId="0" applyFont="1" applyBorder="1" applyAlignment="1">
      <alignment/>
    </xf>
    <xf numFmtId="0" fontId="95" fillId="0" borderId="36" xfId="0" applyFont="1" applyBorder="1" applyAlignment="1">
      <alignment/>
    </xf>
    <xf numFmtId="0" fontId="95" fillId="0" borderId="14" xfId="0" applyFont="1" applyFill="1" applyBorder="1" applyAlignment="1">
      <alignment horizontal="center"/>
    </xf>
    <xf numFmtId="0" fontId="9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0" fontId="95" fillId="0" borderId="12" xfId="0" applyFont="1" applyFill="1" applyBorder="1" applyAlignment="1">
      <alignment horizontal="center"/>
    </xf>
    <xf numFmtId="0" fontId="0" fillId="0" borderId="36" xfId="0" applyBorder="1" applyAlignment="1">
      <alignment/>
    </xf>
    <xf numFmtId="2" fontId="0" fillId="0" borderId="36" xfId="0" applyNumberFormat="1" applyBorder="1" applyAlignment="1">
      <alignment/>
    </xf>
    <xf numFmtId="0" fontId="103" fillId="0" borderId="38" xfId="0" applyFont="1" applyBorder="1" applyAlignment="1">
      <alignment horizontal="center"/>
    </xf>
    <xf numFmtId="0" fontId="103" fillId="0" borderId="14" xfId="0" applyFont="1" applyBorder="1" applyAlignment="1">
      <alignment horizontal="center"/>
    </xf>
    <xf numFmtId="0" fontId="101" fillId="0" borderId="0" xfId="0" applyFont="1" applyBorder="1" applyAlignment="1">
      <alignment horizontal="center"/>
    </xf>
    <xf numFmtId="0" fontId="103" fillId="0" borderId="39" xfId="0" applyFont="1" applyBorder="1" applyAlignment="1">
      <alignment horizontal="center"/>
    </xf>
    <xf numFmtId="0" fontId="101" fillId="0" borderId="36" xfId="0" applyFont="1" applyBorder="1" applyAlignment="1">
      <alignment horizontal="center"/>
    </xf>
    <xf numFmtId="0" fontId="103" fillId="0" borderId="12" xfId="0" applyFont="1" applyFill="1" applyBorder="1" applyAlignment="1">
      <alignment horizontal="center"/>
    </xf>
    <xf numFmtId="2" fontId="92" fillId="0" borderId="36" xfId="0" applyNumberFormat="1" applyFont="1" applyBorder="1" applyAlignment="1">
      <alignment horizontal="center"/>
    </xf>
    <xf numFmtId="2" fontId="92" fillId="0" borderId="36" xfId="0" applyNumberFormat="1" applyFont="1" applyBorder="1" applyAlignment="1">
      <alignment/>
    </xf>
    <xf numFmtId="0" fontId="103" fillId="0" borderId="40" xfId="0" applyFont="1" applyFill="1" applyBorder="1" applyAlignment="1">
      <alignment horizontal="center"/>
    </xf>
    <xf numFmtId="0" fontId="103" fillId="0" borderId="41" xfId="0" applyFont="1" applyBorder="1" applyAlignment="1">
      <alignment/>
    </xf>
    <xf numFmtId="0" fontId="103" fillId="0" borderId="31" xfId="0" applyFont="1" applyBorder="1" applyAlignment="1">
      <alignment horizontal="center"/>
    </xf>
    <xf numFmtId="0" fontId="102" fillId="0" borderId="41" xfId="0" applyFont="1" applyBorder="1" applyAlignment="1">
      <alignment/>
    </xf>
    <xf numFmtId="2" fontId="0" fillId="0" borderId="4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36" xfId="0" applyNumberFormat="1" applyBorder="1" applyAlignment="1">
      <alignment horizontal="center"/>
    </xf>
    <xf numFmtId="0" fontId="104" fillId="0" borderId="41" xfId="0" applyFont="1" applyBorder="1" applyAlignment="1">
      <alignment/>
    </xf>
    <xf numFmtId="0" fontId="101" fillId="0" borderId="43" xfId="0" applyFont="1" applyBorder="1" applyAlignment="1">
      <alignment horizontal="center"/>
    </xf>
    <xf numFmtId="2" fontId="92" fillId="0" borderId="42" xfId="0" applyNumberFormat="1" applyFont="1" applyBorder="1" applyAlignment="1">
      <alignment/>
    </xf>
    <xf numFmtId="0" fontId="101" fillId="0" borderId="44" xfId="0" applyFont="1" applyBorder="1" applyAlignment="1">
      <alignment horizontal="center"/>
    </xf>
    <xf numFmtId="0" fontId="102" fillId="0" borderId="45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102" fillId="0" borderId="11" xfId="0" applyFont="1" applyFill="1" applyBorder="1" applyAlignment="1">
      <alignment horizontal="center"/>
    </xf>
    <xf numFmtId="0" fontId="104" fillId="0" borderId="11" xfId="0" applyFont="1" applyBorder="1" applyAlignment="1">
      <alignment/>
    </xf>
    <xf numFmtId="0" fontId="103" fillId="0" borderId="11" xfId="0" applyFont="1" applyBorder="1" applyAlignment="1">
      <alignment/>
    </xf>
    <xf numFmtId="0" fontId="2" fillId="33" borderId="0" xfId="0" applyFont="1" applyFill="1" applyBorder="1" applyAlignment="1">
      <alignment horizontal="left" indent="1"/>
    </xf>
    <xf numFmtId="0" fontId="113" fillId="0" borderId="0" xfId="0" applyFont="1" applyAlignment="1">
      <alignment/>
    </xf>
    <xf numFmtId="0" fontId="0" fillId="0" borderId="36" xfId="0" applyBorder="1" applyAlignment="1">
      <alignment horizontal="center"/>
    </xf>
    <xf numFmtId="0" fontId="103" fillId="0" borderId="12" xfId="0" applyFont="1" applyBorder="1" applyAlignment="1">
      <alignment horizontal="center"/>
    </xf>
    <xf numFmtId="0" fontId="101" fillId="0" borderId="36" xfId="0" applyFont="1" applyBorder="1" applyAlignment="1">
      <alignment horizontal="right"/>
    </xf>
    <xf numFmtId="0" fontId="96" fillId="0" borderId="14" xfId="0" applyFont="1" applyFill="1" applyBorder="1" applyAlignment="1">
      <alignment horizontal="center"/>
    </xf>
    <xf numFmtId="0" fontId="96" fillId="0" borderId="4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1"/>
    </xf>
    <xf numFmtId="0" fontId="96" fillId="0" borderId="12" xfId="0" applyFont="1" applyBorder="1" applyAlignment="1">
      <alignment horizontal="center"/>
    </xf>
    <xf numFmtId="0" fontId="107" fillId="0" borderId="0" xfId="0" applyFont="1" applyBorder="1" applyAlignment="1">
      <alignment horizontal="center"/>
    </xf>
    <xf numFmtId="0" fontId="95" fillId="0" borderId="12" xfId="0" applyFont="1" applyBorder="1" applyAlignment="1">
      <alignment horizontal="center"/>
    </xf>
    <xf numFmtId="0" fontId="95" fillId="0" borderId="12" xfId="0" applyFont="1" applyBorder="1" applyAlignment="1">
      <alignment horizontal="center" vertical="center"/>
    </xf>
    <xf numFmtId="0" fontId="95" fillId="3" borderId="12" xfId="0" applyFont="1" applyFill="1" applyBorder="1" applyAlignment="1">
      <alignment horizontal="center"/>
    </xf>
    <xf numFmtId="0" fontId="95" fillId="6" borderId="12" xfId="0" applyFont="1" applyFill="1" applyBorder="1" applyAlignment="1">
      <alignment horizontal="center"/>
    </xf>
    <xf numFmtId="0" fontId="95" fillId="4" borderId="12" xfId="0" applyFont="1" applyFill="1" applyBorder="1" applyAlignment="1">
      <alignment horizontal="center"/>
    </xf>
    <xf numFmtId="0" fontId="95" fillId="0" borderId="47" xfId="0" applyFont="1" applyBorder="1" applyAlignment="1">
      <alignment horizontal="center"/>
    </xf>
    <xf numFmtId="0" fontId="95" fillId="5" borderId="12" xfId="0" applyFont="1" applyFill="1" applyBorder="1" applyAlignment="1">
      <alignment/>
    </xf>
    <xf numFmtId="0" fontId="108" fillId="0" borderId="48" xfId="0" applyFont="1" applyBorder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0" fillId="0" borderId="31" xfId="0" applyBorder="1" applyAlignment="1">
      <alignment/>
    </xf>
    <xf numFmtId="14" fontId="114" fillId="0" borderId="0" xfId="0" applyNumberFormat="1" applyFont="1" applyAlignment="1">
      <alignment horizontal="center"/>
    </xf>
    <xf numFmtId="0" fontId="115" fillId="0" borderId="0" xfId="0" applyFont="1" applyAlignment="1">
      <alignment/>
    </xf>
    <xf numFmtId="0" fontId="112" fillId="34" borderId="0" xfId="0" applyFont="1" applyFill="1" applyAlignment="1">
      <alignment/>
    </xf>
    <xf numFmtId="2" fontId="19" fillId="0" borderId="18" xfId="0" applyNumberFormat="1" applyFont="1" applyFill="1" applyBorder="1" applyAlignment="1">
      <alignment horizontal="center" vertical="center"/>
    </xf>
    <xf numFmtId="14" fontId="108" fillId="34" borderId="0" xfId="0" applyNumberFormat="1" applyFont="1" applyFill="1" applyAlignment="1">
      <alignment horizontal="center"/>
    </xf>
    <xf numFmtId="0" fontId="25" fillId="0" borderId="0" xfId="0" applyFont="1" applyFill="1" applyBorder="1" applyAlignment="1">
      <alignment horizontal="left" indent="1"/>
    </xf>
    <xf numFmtId="0" fontId="114" fillId="0" borderId="0" xfId="0" applyFont="1" applyAlignment="1">
      <alignment/>
    </xf>
    <xf numFmtId="0" fontId="2" fillId="0" borderId="17" xfId="0" applyFont="1" applyBorder="1" applyAlignment="1">
      <alignment horizontal="center" vertical="center"/>
    </xf>
    <xf numFmtId="0" fontId="107" fillId="4" borderId="0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105" fillId="0" borderId="13" xfId="0" applyFont="1" applyBorder="1" applyAlignment="1">
      <alignment horizontal="center"/>
    </xf>
    <xf numFmtId="0" fontId="105" fillId="4" borderId="22" xfId="0" applyFont="1" applyFill="1" applyBorder="1" applyAlignment="1">
      <alignment horizontal="center"/>
    </xf>
    <xf numFmtId="0" fontId="105" fillId="4" borderId="49" xfId="0" applyFont="1" applyFill="1" applyBorder="1" applyAlignment="1">
      <alignment horizontal="center"/>
    </xf>
    <xf numFmtId="0" fontId="95" fillId="0" borderId="50" xfId="0" applyFont="1" applyBorder="1" applyAlignment="1">
      <alignment/>
    </xf>
    <xf numFmtId="0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107" fillId="0" borderId="13" xfId="0" applyFont="1" applyBorder="1" applyAlignment="1">
      <alignment horizontal="center"/>
    </xf>
    <xf numFmtId="0" fontId="107" fillId="4" borderId="49" xfId="0" applyFont="1" applyFill="1" applyBorder="1" applyAlignment="1">
      <alignment horizontal="center"/>
    </xf>
    <xf numFmtId="0" fontId="112" fillId="4" borderId="17" xfId="0" applyFont="1" applyFill="1" applyBorder="1" applyAlignment="1">
      <alignment horizontal="center"/>
    </xf>
    <xf numFmtId="0" fontId="3" fillId="0" borderId="13" xfId="0" applyFont="1" applyBorder="1" applyAlignment="1">
      <alignment horizontal="left" indent="1"/>
    </xf>
    <xf numFmtId="0" fontId="3" fillId="0" borderId="17" xfId="0" applyFont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22" xfId="0" applyFont="1" applyBorder="1" applyAlignment="1">
      <alignment horizontal="left" indent="1"/>
    </xf>
    <xf numFmtId="0" fontId="2" fillId="0" borderId="18" xfId="0" applyFont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2" fontId="19" fillId="0" borderId="13" xfId="0" applyNumberFormat="1" applyFont="1" applyFill="1" applyBorder="1" applyAlignment="1">
      <alignment horizontal="center" vertical="center"/>
    </xf>
    <xf numFmtId="2" fontId="19" fillId="4" borderId="22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4" borderId="22" xfId="0" applyFont="1" applyFill="1" applyBorder="1" applyAlignment="1">
      <alignment horizontal="left" indent="1"/>
    </xf>
    <xf numFmtId="0" fontId="15" fillId="0" borderId="13" xfId="0" applyFont="1" applyBorder="1" applyAlignment="1">
      <alignment horizontal="left" indent="1"/>
    </xf>
    <xf numFmtId="0" fontId="15" fillId="4" borderId="22" xfId="0" applyFont="1" applyFill="1" applyBorder="1" applyAlignment="1">
      <alignment horizontal="left" indent="1"/>
    </xf>
    <xf numFmtId="0" fontId="15" fillId="0" borderId="13" xfId="0" applyFont="1" applyBorder="1" applyAlignment="1">
      <alignment horizontal="left" vertical="center" indent="1"/>
    </xf>
    <xf numFmtId="0" fontId="15" fillId="4" borderId="22" xfId="0" applyFont="1" applyFill="1" applyBorder="1" applyAlignment="1">
      <alignment horizontal="left" vertical="center" inden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left" indent="1"/>
    </xf>
    <xf numFmtId="0" fontId="3" fillId="0" borderId="5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left" indent="1"/>
    </xf>
    <xf numFmtId="0" fontId="3" fillId="0" borderId="23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left" indent="1"/>
    </xf>
    <xf numFmtId="0" fontId="112" fillId="4" borderId="10" xfId="0" applyFont="1" applyFill="1" applyBorder="1" applyAlignment="1">
      <alignment horizontal="center"/>
    </xf>
    <xf numFmtId="0" fontId="96" fillId="0" borderId="48" xfId="0" applyFont="1" applyBorder="1" applyAlignment="1">
      <alignment horizontal="center"/>
    </xf>
    <xf numFmtId="0" fontId="96" fillId="0" borderId="53" xfId="0" applyFont="1" applyBorder="1" applyAlignment="1">
      <alignment/>
    </xf>
    <xf numFmtId="0" fontId="95" fillId="0" borderId="51" xfId="0" applyFont="1" applyBorder="1" applyAlignment="1">
      <alignment horizontal="center"/>
    </xf>
    <xf numFmtId="0" fontId="100" fillId="0" borderId="50" xfId="0" applyFont="1" applyBorder="1" applyAlignment="1">
      <alignment/>
    </xf>
    <xf numFmtId="0" fontId="96" fillId="0" borderId="18" xfId="0" applyFont="1" applyBorder="1" applyAlignment="1">
      <alignment horizontal="center"/>
    </xf>
    <xf numFmtId="0" fontId="96" fillId="4" borderId="23" xfId="0" applyFont="1" applyFill="1" applyBorder="1" applyAlignment="1">
      <alignment horizontal="center"/>
    </xf>
    <xf numFmtId="0" fontId="95" fillId="0" borderId="18" xfId="0" applyFont="1" applyBorder="1" applyAlignment="1">
      <alignment horizontal="center"/>
    </xf>
    <xf numFmtId="0" fontId="95" fillId="4" borderId="23" xfId="0" applyFont="1" applyFill="1" applyBorder="1" applyAlignment="1">
      <alignment horizontal="center"/>
    </xf>
    <xf numFmtId="0" fontId="95" fillId="0" borderId="18" xfId="0" applyFont="1" applyBorder="1" applyAlignment="1">
      <alignment horizontal="center" vertical="center"/>
    </xf>
    <xf numFmtId="0" fontId="95" fillId="4" borderId="23" xfId="0" applyFont="1" applyFill="1" applyBorder="1" applyAlignment="1">
      <alignment horizontal="center" vertical="center"/>
    </xf>
    <xf numFmtId="0" fontId="96" fillId="0" borderId="13" xfId="0" applyFont="1" applyBorder="1" applyAlignment="1">
      <alignment/>
    </xf>
    <xf numFmtId="0" fontId="96" fillId="4" borderId="22" xfId="0" applyFont="1" applyFill="1" applyBorder="1" applyAlignment="1">
      <alignment/>
    </xf>
    <xf numFmtId="0" fontId="95" fillId="4" borderId="22" xfId="0" applyFont="1" applyFill="1" applyBorder="1" applyAlignment="1">
      <alignment/>
    </xf>
    <xf numFmtId="0" fontId="95" fillId="0" borderId="13" xfId="0" applyFont="1" applyBorder="1" applyAlignment="1">
      <alignment horizontal="left" vertical="center"/>
    </xf>
    <xf numFmtId="0" fontId="95" fillId="4" borderId="22" xfId="0" applyFont="1" applyFill="1" applyBorder="1" applyAlignment="1">
      <alignment horizontal="left" vertical="center"/>
    </xf>
    <xf numFmtId="0" fontId="96" fillId="0" borderId="54" xfId="0" applyFont="1" applyFill="1" applyBorder="1" applyAlignment="1">
      <alignment horizontal="center"/>
    </xf>
    <xf numFmtId="0" fontId="103" fillId="0" borderId="51" xfId="0" applyFont="1" applyBorder="1" applyAlignment="1">
      <alignment horizontal="center"/>
    </xf>
    <xf numFmtId="0" fontId="101" fillId="0" borderId="22" xfId="0" applyFont="1" applyBorder="1" applyAlignment="1">
      <alignment/>
    </xf>
    <xf numFmtId="0" fontId="102" fillId="0" borderId="13" xfId="0" applyFont="1" applyBorder="1" applyAlignment="1">
      <alignment/>
    </xf>
    <xf numFmtId="0" fontId="102" fillId="0" borderId="22" xfId="0" applyFont="1" applyBorder="1" applyAlignment="1">
      <alignment/>
    </xf>
    <xf numFmtId="2" fontId="116" fillId="0" borderId="10" xfId="0" applyNumberFormat="1" applyFont="1" applyBorder="1" applyAlignment="1">
      <alignment horizontal="left"/>
    </xf>
    <xf numFmtId="0" fontId="95" fillId="0" borderId="13" xfId="0" applyFont="1" applyBorder="1" applyAlignment="1">
      <alignment horizontal="left" vertical="center"/>
    </xf>
    <xf numFmtId="0" fontId="103" fillId="0" borderId="48" xfId="0" applyFont="1" applyBorder="1" applyAlignment="1">
      <alignment horizontal="center"/>
    </xf>
    <xf numFmtId="0" fontId="101" fillId="0" borderId="13" xfId="0" applyFont="1" applyBorder="1" applyAlignment="1">
      <alignment/>
    </xf>
    <xf numFmtId="0" fontId="103" fillId="0" borderId="51" xfId="0" applyFont="1" applyFill="1" applyBorder="1" applyAlignment="1">
      <alignment horizontal="center"/>
    </xf>
    <xf numFmtId="0" fontId="104" fillId="0" borderId="22" xfId="0" applyFont="1" applyBorder="1" applyAlignment="1">
      <alignment/>
    </xf>
    <xf numFmtId="0" fontId="101" fillId="0" borderId="17" xfId="0" applyFont="1" applyBorder="1" applyAlignment="1">
      <alignment horizontal="center"/>
    </xf>
    <xf numFmtId="0" fontId="116" fillId="0" borderId="17" xfId="0" applyFont="1" applyBorder="1" applyAlignment="1">
      <alignment horizontal="center"/>
    </xf>
    <xf numFmtId="0" fontId="0" fillId="0" borderId="55" xfId="0" applyBorder="1" applyAlignment="1">
      <alignment horizontal="center"/>
    </xf>
    <xf numFmtId="2" fontId="117" fillId="0" borderId="55" xfId="0" applyNumberFormat="1" applyFont="1" applyBorder="1" applyAlignment="1">
      <alignment horizontal="left"/>
    </xf>
    <xf numFmtId="2" fontId="0" fillId="0" borderId="55" xfId="0" applyNumberFormat="1" applyBorder="1" applyAlignment="1">
      <alignment horizontal="center"/>
    </xf>
    <xf numFmtId="2" fontId="92" fillId="0" borderId="55" xfId="0" applyNumberFormat="1" applyFont="1" applyBorder="1" applyAlignment="1">
      <alignment horizontal="center"/>
    </xf>
    <xf numFmtId="0" fontId="101" fillId="0" borderId="13" xfId="0" applyFont="1" applyBorder="1" applyAlignment="1">
      <alignment horizontal="center"/>
    </xf>
    <xf numFmtId="2" fontId="118" fillId="0" borderId="55" xfId="0" applyNumberFormat="1" applyFont="1" applyBorder="1" applyAlignment="1">
      <alignment horizontal="left"/>
    </xf>
    <xf numFmtId="2" fontId="0" fillId="0" borderId="55" xfId="0" applyNumberFormat="1" applyBorder="1" applyAlignment="1">
      <alignment/>
    </xf>
    <xf numFmtId="0" fontId="101" fillId="0" borderId="56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102" fillId="0" borderId="49" xfId="0" applyFont="1" applyBorder="1" applyAlignment="1">
      <alignment/>
    </xf>
    <xf numFmtId="2" fontId="119" fillId="0" borderId="22" xfId="0" applyNumberFormat="1" applyFont="1" applyBorder="1" applyAlignment="1">
      <alignment horizontal="left"/>
    </xf>
    <xf numFmtId="0" fontId="95" fillId="0" borderId="13" xfId="0" applyFont="1" applyBorder="1" applyAlignment="1">
      <alignment horizontal="left" vertical="center"/>
    </xf>
    <xf numFmtId="0" fontId="95" fillId="0" borderId="13" xfId="0" applyFont="1" applyBorder="1" applyAlignment="1">
      <alignment horizontal="left" vertical="center"/>
    </xf>
    <xf numFmtId="0" fontId="95" fillId="0" borderId="13" xfId="0" applyFont="1" applyBorder="1" applyAlignment="1">
      <alignment horizontal="left" vertical="center"/>
    </xf>
    <xf numFmtId="2" fontId="0" fillId="35" borderId="36" xfId="0" applyNumberFormat="1" applyFill="1" applyBorder="1" applyAlignment="1">
      <alignment/>
    </xf>
    <xf numFmtId="0" fontId="103" fillId="0" borderId="0" xfId="0" applyFont="1" applyFill="1" applyBorder="1" applyAlignment="1">
      <alignment horizontal="center" vertical="center"/>
    </xf>
    <xf numFmtId="0" fontId="104" fillId="0" borderId="0" xfId="0" applyFont="1" applyBorder="1" applyAlignment="1">
      <alignment horizontal="left" vertical="center"/>
    </xf>
    <xf numFmtId="0" fontId="116" fillId="0" borderId="0" xfId="0" applyFont="1" applyBorder="1" applyAlignment="1">
      <alignment horizontal="center"/>
    </xf>
    <xf numFmtId="0" fontId="102" fillId="0" borderId="0" xfId="0" applyFont="1" applyBorder="1" applyAlignment="1">
      <alignment/>
    </xf>
    <xf numFmtId="2" fontId="119" fillId="0" borderId="0" xfId="0" applyNumberFormat="1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2" fontId="98" fillId="0" borderId="11" xfId="48" applyNumberFormat="1" applyFont="1" applyFill="1" applyBorder="1" applyAlignment="1">
      <alignment horizontal="center"/>
      <protection/>
    </xf>
    <xf numFmtId="0" fontId="95" fillId="6" borderId="11" xfId="0" applyFont="1" applyFill="1" applyBorder="1" applyAlignment="1">
      <alignment/>
    </xf>
    <xf numFmtId="0" fontId="112" fillId="4" borderId="10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/>
    </xf>
    <xf numFmtId="0" fontId="95" fillId="0" borderId="13" xfId="0" applyFont="1" applyBorder="1" applyAlignment="1">
      <alignment horizontal="left" vertical="center"/>
    </xf>
    <xf numFmtId="0" fontId="95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96" fillId="0" borderId="54" xfId="0" applyFont="1" applyBorder="1" applyAlignment="1">
      <alignment horizontal="center"/>
    </xf>
    <xf numFmtId="0" fontId="96" fillId="4" borderId="58" xfId="0" applyFont="1" applyFill="1" applyBorder="1" applyAlignment="1">
      <alignment horizontal="center"/>
    </xf>
    <xf numFmtId="0" fontId="95" fillId="0" borderId="54" xfId="0" applyFont="1" applyBorder="1" applyAlignment="1">
      <alignment horizontal="center"/>
    </xf>
    <xf numFmtId="0" fontId="95" fillId="4" borderId="58" xfId="0" applyFont="1" applyFill="1" applyBorder="1" applyAlignment="1">
      <alignment horizontal="center"/>
    </xf>
    <xf numFmtId="0" fontId="95" fillId="0" borderId="54" xfId="0" applyFont="1" applyBorder="1" applyAlignment="1">
      <alignment horizontal="center" vertical="center"/>
    </xf>
    <xf numFmtId="0" fontId="95" fillId="4" borderId="58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/>
    </xf>
    <xf numFmtId="0" fontId="3" fillId="4" borderId="58" xfId="0" applyFont="1" applyFill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4" borderId="58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96" fillId="0" borderId="59" xfId="0" applyFont="1" applyBorder="1" applyAlignment="1">
      <alignment horizontal="center"/>
    </xf>
    <xf numFmtId="0" fontId="96" fillId="0" borderId="0" xfId="0" applyFont="1" applyBorder="1" applyAlignment="1">
      <alignment/>
    </xf>
    <xf numFmtId="0" fontId="96" fillId="0" borderId="50" xfId="0" applyFont="1" applyBorder="1" applyAlignment="1">
      <alignment/>
    </xf>
    <xf numFmtId="0" fontId="95" fillId="0" borderId="40" xfId="0" applyFont="1" applyBorder="1" applyAlignment="1">
      <alignment/>
    </xf>
    <xf numFmtId="0" fontId="95" fillId="0" borderId="31" xfId="0" applyFont="1" applyBorder="1" applyAlignment="1">
      <alignment/>
    </xf>
    <xf numFmtId="0" fontId="29" fillId="0" borderId="17" xfId="0" applyFont="1" applyBorder="1" applyAlignment="1">
      <alignment horizontal="center"/>
    </xf>
    <xf numFmtId="2" fontId="0" fillId="0" borderId="36" xfId="0" applyNumberFormat="1" applyFont="1" applyBorder="1" applyAlignment="1">
      <alignment/>
    </xf>
    <xf numFmtId="0" fontId="0" fillId="0" borderId="55" xfId="0" applyBorder="1" applyAlignment="1">
      <alignment horizontal="right"/>
    </xf>
    <xf numFmtId="2" fontId="0" fillId="0" borderId="55" xfId="0" applyNumberFormat="1" applyBorder="1" applyAlignment="1">
      <alignment horizontal="right"/>
    </xf>
    <xf numFmtId="0" fontId="0" fillId="0" borderId="57" xfId="0" applyBorder="1" applyAlignment="1">
      <alignment horizontal="right"/>
    </xf>
    <xf numFmtId="2" fontId="116" fillId="0" borderId="55" xfId="0" applyNumberFormat="1" applyFont="1" applyBorder="1" applyAlignment="1">
      <alignment horizontal="left"/>
    </xf>
    <xf numFmtId="0" fontId="116" fillId="0" borderId="60" xfId="0" applyFont="1" applyBorder="1" applyAlignment="1">
      <alignment horizontal="center"/>
    </xf>
    <xf numFmtId="0" fontId="102" fillId="0" borderId="16" xfId="0" applyFont="1" applyBorder="1" applyAlignment="1">
      <alignment/>
    </xf>
    <xf numFmtId="2" fontId="120" fillId="0" borderId="61" xfId="0" applyNumberFormat="1" applyFont="1" applyBorder="1" applyAlignment="1">
      <alignment horizontal="left"/>
    </xf>
    <xf numFmtId="0" fontId="95" fillId="0" borderId="62" xfId="0" applyFont="1" applyBorder="1" applyAlignment="1">
      <alignment horizontal="center"/>
    </xf>
    <xf numFmtId="0" fontId="95" fillId="0" borderId="63" xfId="0" applyFont="1" applyBorder="1" applyAlignment="1">
      <alignment horizontal="center"/>
    </xf>
    <xf numFmtId="0" fontId="95" fillId="0" borderId="64" xfId="0" applyFont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113" fillId="0" borderId="36" xfId="0" applyFont="1" applyBorder="1" applyAlignment="1">
      <alignment/>
    </xf>
    <xf numFmtId="0" fontId="121" fillId="0" borderId="36" xfId="0" applyFont="1" applyBorder="1" applyAlignment="1">
      <alignment horizontal="right"/>
    </xf>
    <xf numFmtId="2" fontId="113" fillId="35" borderId="36" xfId="0" applyNumberFormat="1" applyFont="1" applyFill="1" applyBorder="1" applyAlignment="1">
      <alignment/>
    </xf>
    <xf numFmtId="2" fontId="118" fillId="0" borderId="61" xfId="0" applyNumberFormat="1" applyFont="1" applyBorder="1" applyAlignment="1">
      <alignment horizontal="left"/>
    </xf>
    <xf numFmtId="0" fontId="122" fillId="0" borderId="11" xfId="0" applyFont="1" applyBorder="1" applyAlignment="1">
      <alignment/>
    </xf>
    <xf numFmtId="0" fontId="95" fillId="0" borderId="0" xfId="0" applyFont="1" applyAlignment="1">
      <alignment/>
    </xf>
    <xf numFmtId="0" fontId="95" fillId="0" borderId="0" xfId="0" applyFont="1" applyAlignment="1">
      <alignment/>
    </xf>
    <xf numFmtId="0" fontId="123" fillId="0" borderId="11" xfId="0" applyFont="1" applyBorder="1" applyAlignment="1">
      <alignment/>
    </xf>
    <xf numFmtId="0" fontId="123" fillId="0" borderId="11" xfId="0" applyFont="1" applyBorder="1" applyAlignment="1">
      <alignment vertical="center" wrapText="1"/>
    </xf>
    <xf numFmtId="0" fontId="123" fillId="0" borderId="11" xfId="0" applyFont="1" applyBorder="1" applyAlignment="1">
      <alignment horizontal="left"/>
    </xf>
    <xf numFmtId="0" fontId="124" fillId="0" borderId="11" xfId="41" applyFont="1" applyBorder="1" applyAlignment="1" applyProtection="1">
      <alignment vertical="center" wrapText="1"/>
      <protection/>
    </xf>
    <xf numFmtId="0" fontId="96" fillId="0" borderId="0" xfId="0" applyFont="1" applyBorder="1" applyAlignment="1">
      <alignment/>
    </xf>
    <xf numFmtId="0" fontId="96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5" fillId="5" borderId="19" xfId="0" applyFont="1" applyFill="1" applyBorder="1" applyAlignment="1">
      <alignment horizontal="left"/>
    </xf>
    <xf numFmtId="0" fontId="95" fillId="0" borderId="11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/>
    </xf>
    <xf numFmtId="0" fontId="106" fillId="0" borderId="0" xfId="0" applyFont="1" applyAlignment="1">
      <alignment horizontal="left"/>
    </xf>
    <xf numFmtId="0" fontId="106" fillId="0" borderId="0" xfId="0" applyFont="1" applyAlignment="1">
      <alignment/>
    </xf>
    <xf numFmtId="0" fontId="95" fillId="0" borderId="0" xfId="0" applyFont="1" applyBorder="1" applyAlignment="1">
      <alignment vertical="center" wrapText="1"/>
    </xf>
    <xf numFmtId="0" fontId="106" fillId="0" borderId="0" xfId="0" applyFont="1" applyAlignment="1">
      <alignment vertical="center"/>
    </xf>
    <xf numFmtId="0" fontId="125" fillId="0" borderId="0" xfId="0" applyFont="1" applyAlignment="1">
      <alignment/>
    </xf>
    <xf numFmtId="0" fontId="95" fillId="0" borderId="0" xfId="0" applyFont="1" applyBorder="1" applyAlignment="1">
      <alignment/>
    </xf>
    <xf numFmtId="0" fontId="126" fillId="0" borderId="0" xfId="41" applyFont="1" applyBorder="1" applyAlignment="1" applyProtection="1">
      <alignment/>
      <protection/>
    </xf>
    <xf numFmtId="0" fontId="106" fillId="0" borderId="0" xfId="0" applyFont="1" applyAlignment="1">
      <alignment/>
    </xf>
    <xf numFmtId="0" fontId="96" fillId="0" borderId="49" xfId="0" applyFont="1" applyBorder="1" applyAlignment="1">
      <alignment horizontal="center"/>
    </xf>
    <xf numFmtId="0" fontId="95" fillId="0" borderId="22" xfId="0" applyFont="1" applyBorder="1" applyAlignment="1">
      <alignment horizontal="center"/>
    </xf>
    <xf numFmtId="0" fontId="95" fillId="0" borderId="52" xfId="0" applyFont="1" applyBorder="1" applyAlignment="1">
      <alignment horizontal="center"/>
    </xf>
    <xf numFmtId="0" fontId="95" fillId="5" borderId="11" xfId="0" applyFont="1" applyFill="1" applyBorder="1" applyAlignment="1">
      <alignment horizontal="center"/>
    </xf>
    <xf numFmtId="0" fontId="108" fillId="0" borderId="13" xfId="0" applyFont="1" applyBorder="1" applyAlignment="1">
      <alignment horizontal="center" vertical="center"/>
    </xf>
    <xf numFmtId="0" fontId="101" fillId="0" borderId="0" xfId="0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127" fillId="0" borderId="0" xfId="0" applyFont="1" applyBorder="1" applyAlignment="1">
      <alignment horizontal="center" vertical="center"/>
    </xf>
    <xf numFmtId="0" fontId="127" fillId="0" borderId="11" xfId="0" applyFont="1" applyBorder="1" applyAlignment="1">
      <alignment horizontal="center" vertical="center"/>
    </xf>
    <xf numFmtId="0" fontId="127" fillId="0" borderId="11" xfId="0" applyFont="1" applyBorder="1" applyAlignment="1">
      <alignment horizontal="center"/>
    </xf>
    <xf numFmtId="0" fontId="127" fillId="0" borderId="0" xfId="0" applyFont="1" applyBorder="1" applyAlignment="1">
      <alignment horizontal="center"/>
    </xf>
    <xf numFmtId="0" fontId="125" fillId="0" borderId="11" xfId="0" applyFont="1" applyBorder="1" applyAlignment="1">
      <alignment/>
    </xf>
    <xf numFmtId="0" fontId="122" fillId="0" borderId="22" xfId="0" applyFont="1" applyBorder="1" applyAlignment="1">
      <alignment/>
    </xf>
    <xf numFmtId="0" fontId="122" fillId="0" borderId="13" xfId="0" applyFont="1" applyBorder="1" applyAlignment="1">
      <alignment/>
    </xf>
    <xf numFmtId="0" fontId="14" fillId="0" borderId="17" xfId="0" applyFont="1" applyBorder="1" applyAlignment="1">
      <alignment/>
    </xf>
    <xf numFmtId="0" fontId="96" fillId="0" borderId="13" xfId="0" applyFont="1" applyBorder="1" applyAlignment="1">
      <alignment wrapText="1"/>
    </xf>
    <xf numFmtId="0" fontId="3" fillId="0" borderId="19" xfId="0" applyFont="1" applyBorder="1" applyAlignment="1">
      <alignment/>
    </xf>
    <xf numFmtId="14" fontId="100" fillId="0" borderId="0" xfId="0" applyNumberFormat="1" applyFont="1" applyAlignment="1">
      <alignment horizontal="center"/>
    </xf>
    <xf numFmtId="0" fontId="95" fillId="3" borderId="19" xfId="0" applyFont="1" applyFill="1" applyBorder="1" applyAlignment="1">
      <alignment horizontal="center"/>
    </xf>
    <xf numFmtId="0" fontId="116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95" fillId="36" borderId="19" xfId="0" applyFont="1" applyFill="1" applyBorder="1" applyAlignment="1">
      <alignment horizontal="left" vertical="center"/>
    </xf>
    <xf numFmtId="0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>
      <alignment horizontal="center" vertical="center"/>
    </xf>
    <xf numFmtId="0" fontId="29" fillId="36" borderId="11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/>
    </xf>
    <xf numFmtId="2" fontId="95" fillId="0" borderId="10" xfId="0" applyNumberFormat="1" applyFont="1" applyBorder="1" applyAlignment="1">
      <alignment/>
    </xf>
    <xf numFmtId="0" fontId="29" fillId="0" borderId="11" xfId="0" applyFont="1" applyBorder="1" applyAlignment="1">
      <alignment horizontal="center"/>
    </xf>
    <xf numFmtId="0" fontId="33" fillId="0" borderId="17" xfId="0" applyFont="1" applyBorder="1" applyAlignment="1">
      <alignment/>
    </xf>
    <xf numFmtId="0" fontId="29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97" fillId="0" borderId="0" xfId="0" applyFont="1" applyAlignment="1">
      <alignment/>
    </xf>
    <xf numFmtId="0" fontId="123" fillId="0" borderId="0" xfId="0" applyFont="1" applyAlignment="1">
      <alignment/>
    </xf>
    <xf numFmtId="0" fontId="122" fillId="0" borderId="0" xfId="0" applyFont="1" applyAlignment="1">
      <alignment/>
    </xf>
    <xf numFmtId="0" fontId="96" fillId="0" borderId="0" xfId="0" applyFont="1" applyAlignment="1">
      <alignment/>
    </xf>
    <xf numFmtId="0" fontId="95" fillId="0" borderId="11" xfId="0" applyFont="1" applyBorder="1" applyAlignment="1">
      <alignment horizontal="center"/>
    </xf>
    <xf numFmtId="0" fontId="95" fillId="0" borderId="11" xfId="0" applyFont="1" applyBorder="1" applyAlignment="1">
      <alignment/>
    </xf>
    <xf numFmtId="0" fontId="96" fillId="0" borderId="10" xfId="0" applyFont="1" applyBorder="1" applyAlignment="1">
      <alignment/>
    </xf>
    <xf numFmtId="2" fontId="96" fillId="0" borderId="11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2" fontId="95" fillId="0" borderId="11" xfId="0" applyNumberFormat="1" applyFont="1" applyBorder="1" applyAlignment="1">
      <alignment horizontal="center"/>
    </xf>
    <xf numFmtId="0" fontId="95" fillId="0" borderId="10" xfId="0" applyFont="1" applyBorder="1" applyAlignment="1">
      <alignment/>
    </xf>
    <xf numFmtId="0" fontId="95" fillId="3" borderId="10" xfId="0" applyFont="1" applyFill="1" applyBorder="1" applyAlignment="1">
      <alignment/>
    </xf>
    <xf numFmtId="0" fontId="95" fillId="6" borderId="10" xfId="0" applyFont="1" applyFill="1" applyBorder="1" applyAlignment="1">
      <alignment/>
    </xf>
    <xf numFmtId="2" fontId="95" fillId="0" borderId="11" xfId="0" applyNumberFormat="1" applyFont="1" applyBorder="1" applyAlignment="1">
      <alignment/>
    </xf>
    <xf numFmtId="0" fontId="95" fillId="4" borderId="10" xfId="0" applyFont="1" applyFill="1" applyBorder="1" applyAlignment="1">
      <alignment/>
    </xf>
    <xf numFmtId="0" fontId="95" fillId="5" borderId="10" xfId="0" applyFont="1" applyFill="1" applyBorder="1" applyAlignment="1">
      <alignment/>
    </xf>
    <xf numFmtId="0" fontId="108" fillId="0" borderId="11" xfId="0" applyFont="1" applyBorder="1" applyAlignment="1">
      <alignment/>
    </xf>
    <xf numFmtId="2" fontId="95" fillId="0" borderId="22" xfId="0" applyNumberFormat="1" applyFont="1" applyBorder="1" applyAlignment="1">
      <alignment/>
    </xf>
    <xf numFmtId="2" fontId="122" fillId="0" borderId="11" xfId="0" applyNumberFormat="1" applyFont="1" applyBorder="1" applyAlignment="1">
      <alignment/>
    </xf>
    <xf numFmtId="2" fontId="125" fillId="0" borderId="11" xfId="0" applyNumberFormat="1" applyFont="1" applyBorder="1" applyAlignment="1">
      <alignment/>
    </xf>
    <xf numFmtId="184" fontId="122" fillId="0" borderId="11" xfId="0" applyNumberFormat="1" applyFont="1" applyBorder="1" applyAlignment="1">
      <alignment/>
    </xf>
    <xf numFmtId="2" fontId="125" fillId="0" borderId="11" xfId="0" applyNumberFormat="1" applyFont="1" applyBorder="1" applyAlignment="1">
      <alignment horizontal="center"/>
    </xf>
    <xf numFmtId="2" fontId="95" fillId="0" borderId="11" xfId="0" applyNumberFormat="1" applyFont="1" applyBorder="1" applyAlignment="1">
      <alignment horizontal="center" vertical="center"/>
    </xf>
    <xf numFmtId="2" fontId="96" fillId="0" borderId="11" xfId="0" applyNumberFormat="1" applyFont="1" applyBorder="1" applyAlignment="1">
      <alignment horizontal="left"/>
    </xf>
    <xf numFmtId="0" fontId="95" fillId="0" borderId="35" xfId="0" applyFont="1" applyBorder="1" applyAlignment="1">
      <alignment horizontal="center"/>
    </xf>
    <xf numFmtId="0" fontId="95" fillId="0" borderId="36" xfId="0" applyFont="1" applyBorder="1" applyAlignment="1">
      <alignment/>
    </xf>
    <xf numFmtId="0" fontId="96" fillId="0" borderId="55" xfId="0" applyFont="1" applyBorder="1" applyAlignment="1">
      <alignment/>
    </xf>
    <xf numFmtId="2" fontId="96" fillId="0" borderId="36" xfId="0" applyNumberFormat="1" applyFont="1" applyBorder="1" applyAlignment="1">
      <alignment/>
    </xf>
    <xf numFmtId="2" fontId="95" fillId="0" borderId="36" xfId="0" applyNumberFormat="1" applyFont="1" applyBorder="1" applyAlignment="1">
      <alignment horizontal="center" vertical="center"/>
    </xf>
    <xf numFmtId="0" fontId="95" fillId="0" borderId="55" xfId="0" applyFont="1" applyBorder="1" applyAlignment="1">
      <alignment/>
    </xf>
    <xf numFmtId="0" fontId="95" fillId="3" borderId="55" xfId="0" applyFont="1" applyFill="1" applyBorder="1" applyAlignment="1">
      <alignment/>
    </xf>
    <xf numFmtId="2" fontId="95" fillId="0" borderId="36" xfId="0" applyNumberFormat="1" applyFont="1" applyBorder="1" applyAlignment="1">
      <alignment/>
    </xf>
    <xf numFmtId="2" fontId="96" fillId="0" borderId="36" xfId="0" applyNumberFormat="1" applyFont="1" applyBorder="1" applyAlignment="1">
      <alignment horizontal="left"/>
    </xf>
    <xf numFmtId="0" fontId="95" fillId="6" borderId="55" xfId="0" applyFont="1" applyFill="1" applyBorder="1" applyAlignment="1">
      <alignment/>
    </xf>
    <xf numFmtId="0" fontId="95" fillId="4" borderId="55" xfId="0" applyFont="1" applyFill="1" applyBorder="1" applyAlignment="1">
      <alignment/>
    </xf>
    <xf numFmtId="0" fontId="95" fillId="5" borderId="55" xfId="0" applyFont="1" applyFill="1" applyBorder="1" applyAlignment="1">
      <alignment/>
    </xf>
    <xf numFmtId="0" fontId="95" fillId="0" borderId="36" xfId="0" applyFont="1" applyBorder="1" applyAlignment="1">
      <alignment horizontal="center"/>
    </xf>
    <xf numFmtId="0" fontId="108" fillId="0" borderId="36" xfId="0" applyFont="1" applyBorder="1" applyAlignment="1">
      <alignment/>
    </xf>
    <xf numFmtId="2" fontId="95" fillId="0" borderId="46" xfId="0" applyNumberFormat="1" applyFont="1" applyBorder="1" applyAlignment="1">
      <alignment/>
    </xf>
    <xf numFmtId="0" fontId="122" fillId="0" borderId="36" xfId="0" applyFont="1" applyBorder="1" applyAlignment="1">
      <alignment/>
    </xf>
    <xf numFmtId="2" fontId="125" fillId="0" borderId="36" xfId="0" applyNumberFormat="1" applyFont="1" applyBorder="1" applyAlignment="1">
      <alignment horizontal="center"/>
    </xf>
    <xf numFmtId="2" fontId="125" fillId="0" borderId="36" xfId="0" applyNumberFormat="1" applyFont="1" applyBorder="1" applyAlignment="1">
      <alignment/>
    </xf>
    <xf numFmtId="184" fontId="122" fillId="0" borderId="36" xfId="0" applyNumberFormat="1" applyFont="1" applyBorder="1" applyAlignment="1">
      <alignment/>
    </xf>
    <xf numFmtId="0" fontId="122" fillId="0" borderId="42" xfId="0" applyFont="1" applyBorder="1" applyAlignment="1">
      <alignment/>
    </xf>
    <xf numFmtId="2" fontId="108" fillId="0" borderId="36" xfId="0" applyNumberFormat="1" applyFont="1" applyBorder="1" applyAlignment="1">
      <alignment/>
    </xf>
    <xf numFmtId="0" fontId="95" fillId="34" borderId="0" xfId="0" applyFont="1" applyFill="1" applyAlignment="1">
      <alignment/>
    </xf>
    <xf numFmtId="180" fontId="122" fillId="0" borderId="36" xfId="0" applyNumberFormat="1" applyFont="1" applyBorder="1" applyAlignment="1">
      <alignment/>
    </xf>
    <xf numFmtId="2" fontId="112" fillId="4" borderId="36" xfId="0" applyNumberFormat="1" applyFont="1" applyFill="1" applyBorder="1" applyAlignment="1">
      <alignment horizontal="left"/>
    </xf>
    <xf numFmtId="2" fontId="2" fillId="0" borderId="55" xfId="0" applyNumberFormat="1" applyFont="1" applyBorder="1" applyAlignment="1">
      <alignment/>
    </xf>
    <xf numFmtId="2" fontId="116" fillId="4" borderId="55" xfId="0" applyNumberFormat="1" applyFont="1" applyFill="1" applyBorder="1" applyAlignment="1">
      <alignment horizontal="left"/>
    </xf>
    <xf numFmtId="2" fontId="95" fillId="0" borderId="55" xfId="0" applyNumberFormat="1" applyFont="1" applyBorder="1" applyAlignment="1">
      <alignment horizontal="center" vertical="center"/>
    </xf>
    <xf numFmtId="2" fontId="116" fillId="4" borderId="10" xfId="0" applyNumberFormat="1" applyFont="1" applyFill="1" applyBorder="1" applyAlignment="1">
      <alignment horizontal="left" vertical="center"/>
    </xf>
    <xf numFmtId="2" fontId="96" fillId="0" borderId="55" xfId="0" applyNumberFormat="1" applyFont="1" applyBorder="1" applyAlignment="1">
      <alignment/>
    </xf>
    <xf numFmtId="2" fontId="95" fillId="0" borderId="55" xfId="0" applyNumberFormat="1" applyFont="1" applyBorder="1" applyAlignment="1">
      <alignment/>
    </xf>
    <xf numFmtId="2" fontId="128" fillId="4" borderId="36" xfId="0" applyNumberFormat="1" applyFont="1" applyFill="1" applyBorder="1" applyAlignment="1">
      <alignment horizontal="left"/>
    </xf>
    <xf numFmtId="0" fontId="95" fillId="0" borderId="42" xfId="0" applyFont="1" applyBorder="1" applyAlignment="1">
      <alignment/>
    </xf>
    <xf numFmtId="0" fontId="96" fillId="0" borderId="57" xfId="0" applyFont="1" applyBorder="1" applyAlignment="1">
      <alignment/>
    </xf>
    <xf numFmtId="2" fontId="95" fillId="0" borderId="55" xfId="0" applyNumberFormat="1" applyFont="1" applyBorder="1" applyAlignment="1">
      <alignment horizontal="right" vertical="center"/>
    </xf>
    <xf numFmtId="2" fontId="116" fillId="4" borderId="55" xfId="0" applyNumberFormat="1" applyFont="1" applyFill="1" applyBorder="1" applyAlignment="1">
      <alignment horizontal="left" vertical="center"/>
    </xf>
    <xf numFmtId="2" fontId="116" fillId="4" borderId="36" xfId="0" applyNumberFormat="1" applyFont="1" applyFill="1" applyBorder="1" applyAlignment="1">
      <alignment horizontal="left"/>
    </xf>
    <xf numFmtId="2" fontId="129" fillId="4" borderId="36" xfId="0" applyNumberFormat="1" applyFont="1" applyFill="1" applyBorder="1" applyAlignment="1">
      <alignment horizontal="left"/>
    </xf>
    <xf numFmtId="0" fontId="96" fillId="0" borderId="20" xfId="0" applyFont="1" applyBorder="1" applyAlignment="1">
      <alignment/>
    </xf>
    <xf numFmtId="2" fontId="116" fillId="36" borderId="10" xfId="0" applyNumberFormat="1" applyFont="1" applyFill="1" applyBorder="1" applyAlignment="1">
      <alignment horizontal="left" vertical="center"/>
    </xf>
    <xf numFmtId="2" fontId="95" fillId="0" borderId="11" xfId="0" applyNumberFormat="1" applyFont="1" applyBorder="1" applyAlignment="1">
      <alignment horizontal="left"/>
    </xf>
    <xf numFmtId="0" fontId="95" fillId="0" borderId="11" xfId="0" applyFont="1" applyBorder="1" applyAlignment="1">
      <alignment horizontal="left"/>
    </xf>
    <xf numFmtId="2" fontId="96" fillId="0" borderId="11" xfId="0" applyNumberFormat="1" applyFont="1" applyBorder="1" applyAlignment="1">
      <alignment horizontal="right"/>
    </xf>
    <xf numFmtId="2" fontId="95" fillId="36" borderId="20" xfId="0" applyNumberFormat="1" applyFont="1" applyFill="1" applyBorder="1" applyAlignment="1">
      <alignment/>
    </xf>
    <xf numFmtId="0" fontId="14" fillId="0" borderId="10" xfId="0" applyFont="1" applyBorder="1" applyAlignment="1">
      <alignment/>
    </xf>
    <xf numFmtId="2" fontId="116" fillId="36" borderId="11" xfId="0" applyNumberFormat="1" applyFont="1" applyFill="1" applyBorder="1" applyAlignment="1">
      <alignment horizontal="left"/>
    </xf>
    <xf numFmtId="2" fontId="130" fillId="4" borderId="11" xfId="0" applyNumberFormat="1" applyFont="1" applyFill="1" applyBorder="1" applyAlignment="1">
      <alignment horizontal="left"/>
    </xf>
    <xf numFmtId="2" fontId="122" fillId="0" borderId="11" xfId="0" applyNumberFormat="1" applyFont="1" applyBorder="1" applyAlignment="1">
      <alignment horizontal="center"/>
    </xf>
    <xf numFmtId="14" fontId="122" fillId="0" borderId="0" xfId="0" applyNumberFormat="1" applyFont="1" applyAlignment="1">
      <alignment/>
    </xf>
    <xf numFmtId="0" fontId="131" fillId="0" borderId="0" xfId="0" applyFont="1" applyAlignment="1">
      <alignment horizontal="center"/>
    </xf>
    <xf numFmtId="0" fontId="123" fillId="0" borderId="0" xfId="0" applyFont="1" applyAlignment="1">
      <alignment/>
    </xf>
    <xf numFmtId="0" fontId="123" fillId="0" borderId="0" xfId="0" applyFont="1" applyAlignment="1">
      <alignment horizontal="left"/>
    </xf>
    <xf numFmtId="0" fontId="123" fillId="0" borderId="0" xfId="0" applyFont="1" applyAlignment="1">
      <alignment horizontal="left"/>
    </xf>
    <xf numFmtId="0" fontId="95" fillId="0" borderId="13" xfId="0" applyFont="1" applyBorder="1" applyAlignment="1">
      <alignment horizontal="left" vertical="center"/>
    </xf>
    <xf numFmtId="0" fontId="96" fillId="0" borderId="13" xfId="0" applyFont="1" applyBorder="1" applyAlignment="1">
      <alignment horizontal="left" vertical="center" wrapText="1"/>
    </xf>
    <xf numFmtId="0" fontId="96" fillId="0" borderId="13" xfId="0" applyFont="1" applyBorder="1" applyAlignment="1">
      <alignment horizontal="center" vertical="center" wrapText="1"/>
    </xf>
    <xf numFmtId="0" fontId="127" fillId="0" borderId="13" xfId="0" applyFont="1" applyBorder="1" applyAlignment="1">
      <alignment horizontal="center" vertical="center"/>
    </xf>
    <xf numFmtId="0" fontId="95" fillId="0" borderId="13" xfId="0" applyFont="1" applyBorder="1" applyAlignment="1">
      <alignment horizontal="center" vertical="center"/>
    </xf>
    <xf numFmtId="0" fontId="127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102" fillId="0" borderId="13" xfId="0" applyFont="1" applyFill="1" applyBorder="1" applyAlignment="1">
      <alignment horizontal="center" vertical="center"/>
    </xf>
    <xf numFmtId="0" fontId="95" fillId="0" borderId="48" xfId="0" applyFont="1" applyFill="1" applyBorder="1" applyAlignment="1">
      <alignment horizontal="center" vertical="center"/>
    </xf>
    <xf numFmtId="0" fontId="106" fillId="0" borderId="13" xfId="0" applyFont="1" applyBorder="1" applyAlignment="1">
      <alignment horizontal="left" vertical="center"/>
    </xf>
    <xf numFmtId="0" fontId="102" fillId="0" borderId="13" xfId="0" applyFont="1" applyBorder="1" applyAlignment="1">
      <alignment horizontal="left" vertical="center"/>
    </xf>
    <xf numFmtId="0" fontId="95" fillId="0" borderId="13" xfId="0" applyFont="1" applyBorder="1" applyAlignment="1">
      <alignment horizontal="center" vertical="center"/>
    </xf>
    <xf numFmtId="0" fontId="95" fillId="0" borderId="13" xfId="0" applyFont="1" applyBorder="1" applyAlignment="1">
      <alignment horizontal="left" vertical="center"/>
    </xf>
    <xf numFmtId="0" fontId="123" fillId="0" borderId="0" xfId="0" applyFont="1" applyAlignment="1">
      <alignment horizontal="left"/>
    </xf>
    <xf numFmtId="0" fontId="102" fillId="0" borderId="13" xfId="0" applyFont="1" applyFill="1" applyBorder="1" applyAlignment="1">
      <alignment horizontal="center" vertical="center"/>
    </xf>
    <xf numFmtId="0" fontId="102" fillId="0" borderId="13" xfId="0" applyFont="1" applyBorder="1" applyAlignment="1">
      <alignment horizontal="left" vertical="center"/>
    </xf>
    <xf numFmtId="0" fontId="95" fillId="0" borderId="48" xfId="0" applyFont="1" applyFill="1" applyBorder="1" applyAlignment="1">
      <alignment horizontal="center" vertical="center"/>
    </xf>
    <xf numFmtId="2" fontId="29" fillId="0" borderId="20" xfId="48" applyNumberFormat="1" applyFont="1" applyFill="1" applyBorder="1" applyAlignment="1">
      <alignment horizontal="center"/>
      <protection/>
    </xf>
    <xf numFmtId="2" fontId="33" fillId="0" borderId="11" xfId="48" applyNumberFormat="1" applyFont="1" applyFill="1" applyBorder="1" applyAlignment="1">
      <alignment horizontal="center"/>
      <protection/>
    </xf>
    <xf numFmtId="2" fontId="33" fillId="0" borderId="20" xfId="48" applyNumberFormat="1" applyFont="1" applyFill="1" applyBorder="1" applyAlignment="1">
      <alignment horizontal="center"/>
      <protection/>
    </xf>
    <xf numFmtId="0" fontId="2" fillId="36" borderId="11" xfId="0" applyFont="1" applyFill="1" applyBorder="1" applyAlignment="1">
      <alignment horizontal="left" vertical="center"/>
    </xf>
    <xf numFmtId="0" fontId="127" fillId="0" borderId="0" xfId="0" applyFont="1" applyAlignment="1">
      <alignment horizontal="center"/>
    </xf>
    <xf numFmtId="0" fontId="127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14" fillId="0" borderId="11" xfId="0" applyFont="1" applyFill="1" applyBorder="1" applyAlignment="1">
      <alignment wrapText="1"/>
    </xf>
    <xf numFmtId="0" fontId="17" fillId="0" borderId="17" xfId="0" applyFont="1" applyFill="1" applyBorder="1" applyAlignment="1">
      <alignment horizontal="center" vertical="center" wrapText="1"/>
    </xf>
    <xf numFmtId="0" fontId="12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2" fontId="29" fillId="0" borderId="11" xfId="48" applyNumberFormat="1" applyFont="1" applyFill="1" applyBorder="1" applyAlignment="1">
      <alignment horizontal="center"/>
      <protection/>
    </xf>
    <xf numFmtId="14" fontId="108" fillId="0" borderId="0" xfId="0" applyNumberFormat="1" applyFont="1" applyFill="1" applyAlignment="1">
      <alignment horizontal="center"/>
    </xf>
    <xf numFmtId="2" fontId="6" fillId="0" borderId="11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180" fontId="95" fillId="0" borderId="11" xfId="0" applyNumberFormat="1" applyFont="1" applyBorder="1" applyAlignment="1">
      <alignment/>
    </xf>
    <xf numFmtId="180" fontId="95" fillId="0" borderId="13" xfId="0" applyNumberFormat="1" applyFont="1" applyBorder="1" applyAlignment="1">
      <alignment/>
    </xf>
    <xf numFmtId="2" fontId="132" fillId="0" borderId="11" xfId="0" applyNumberFormat="1" applyFont="1" applyFill="1" applyBorder="1" applyAlignment="1">
      <alignment/>
    </xf>
    <xf numFmtId="2" fontId="25" fillId="0" borderId="10" xfId="0" applyNumberFormat="1" applyFont="1" applyFill="1" applyBorder="1" applyAlignment="1">
      <alignment/>
    </xf>
    <xf numFmtId="2" fontId="123" fillId="0" borderId="10" xfId="0" applyNumberFormat="1" applyFont="1" applyFill="1" applyBorder="1" applyAlignment="1">
      <alignment horizontal="right" vertical="center"/>
    </xf>
    <xf numFmtId="2" fontId="125" fillId="0" borderId="11" xfId="0" applyNumberFormat="1" applyFont="1" applyFill="1" applyBorder="1" applyAlignment="1">
      <alignment/>
    </xf>
    <xf numFmtId="2" fontId="125" fillId="0" borderId="10" xfId="0" applyNumberFormat="1" applyFont="1" applyFill="1" applyBorder="1" applyAlignment="1">
      <alignment/>
    </xf>
    <xf numFmtId="0" fontId="125" fillId="0" borderId="11" xfId="0" applyFont="1" applyFill="1" applyBorder="1" applyAlignment="1">
      <alignment/>
    </xf>
    <xf numFmtId="0" fontId="2" fillId="36" borderId="11" xfId="0" applyFont="1" applyFill="1" applyBorder="1" applyAlignment="1">
      <alignment horizontal="center" vertical="center"/>
    </xf>
    <xf numFmtId="2" fontId="25" fillId="36" borderId="22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14" fontId="106" fillId="0" borderId="0" xfId="0" applyNumberFormat="1" applyFont="1" applyFill="1" applyAlignment="1">
      <alignment horizontal="center"/>
    </xf>
    <xf numFmtId="0" fontId="102" fillId="0" borderId="11" xfId="0" applyFont="1" applyBorder="1" applyAlignment="1">
      <alignment horizontal="left" vertical="center"/>
    </xf>
    <xf numFmtId="0" fontId="102" fillId="0" borderId="11" xfId="0" applyFont="1" applyFill="1" applyBorder="1" applyAlignment="1">
      <alignment horizontal="center" vertical="center"/>
    </xf>
    <xf numFmtId="0" fontId="122" fillId="0" borderId="0" xfId="0" applyFont="1" applyAlignment="1">
      <alignment/>
    </xf>
    <xf numFmtId="0" fontId="122" fillId="0" borderId="55" xfId="0" applyFont="1" applyBorder="1" applyAlignment="1">
      <alignment horizontal="right"/>
    </xf>
    <xf numFmtId="2" fontId="122" fillId="0" borderId="55" xfId="0" applyNumberFormat="1" applyFont="1" applyBorder="1" applyAlignment="1">
      <alignment horizontal="right"/>
    </xf>
    <xf numFmtId="0" fontId="29" fillId="0" borderId="10" xfId="0" applyFont="1" applyFill="1" applyBorder="1" applyAlignment="1">
      <alignment horizontal="center"/>
    </xf>
    <xf numFmtId="2" fontId="106" fillId="35" borderId="36" xfId="0" applyNumberFormat="1" applyFont="1" applyFill="1" applyBorder="1" applyAlignment="1">
      <alignment/>
    </xf>
    <xf numFmtId="0" fontId="106" fillId="0" borderId="36" xfId="0" applyFont="1" applyBorder="1" applyAlignment="1">
      <alignment/>
    </xf>
    <xf numFmtId="0" fontId="102" fillId="0" borderId="36" xfId="0" applyFont="1" applyBorder="1" applyAlignment="1">
      <alignment horizontal="right"/>
    </xf>
    <xf numFmtId="2" fontId="125" fillId="0" borderId="55" xfId="0" applyNumberFormat="1" applyFont="1" applyBorder="1" applyAlignment="1">
      <alignment horizontal="center"/>
    </xf>
    <xf numFmtId="2" fontId="122" fillId="0" borderId="36" xfId="0" applyNumberFormat="1" applyFont="1" applyBorder="1" applyAlignment="1">
      <alignment/>
    </xf>
    <xf numFmtId="0" fontId="122" fillId="0" borderId="57" xfId="0" applyFont="1" applyBorder="1" applyAlignment="1">
      <alignment horizontal="right"/>
    </xf>
    <xf numFmtId="2" fontId="125" fillId="0" borderId="36" xfId="0" applyNumberFormat="1" applyFont="1" applyBorder="1" applyAlignment="1">
      <alignment horizontal="center"/>
    </xf>
    <xf numFmtId="2" fontId="116" fillId="0" borderId="61" xfId="0" applyNumberFormat="1" applyFont="1" applyBorder="1" applyAlignment="1">
      <alignment horizontal="left"/>
    </xf>
    <xf numFmtId="0" fontId="95" fillId="0" borderId="12" xfId="0" applyFont="1" applyFill="1" applyBorder="1" applyAlignment="1">
      <alignment horizontal="center" vertical="center"/>
    </xf>
    <xf numFmtId="0" fontId="123" fillId="0" borderId="0" xfId="0" applyFont="1" applyAlignment="1">
      <alignment horizontal="left"/>
    </xf>
    <xf numFmtId="0" fontId="95" fillId="0" borderId="13" xfId="0" applyFont="1" applyBorder="1" applyAlignment="1">
      <alignment horizontal="center" vertical="center"/>
    </xf>
    <xf numFmtId="0" fontId="102" fillId="0" borderId="13" xfId="0" applyFont="1" applyFill="1" applyBorder="1" applyAlignment="1">
      <alignment horizontal="center" vertical="center"/>
    </xf>
    <xf numFmtId="0" fontId="95" fillId="0" borderId="48" xfId="0" applyFont="1" applyFill="1" applyBorder="1" applyAlignment="1">
      <alignment horizontal="center" vertical="center"/>
    </xf>
    <xf numFmtId="0" fontId="95" fillId="0" borderId="13" xfId="0" applyFont="1" applyBorder="1" applyAlignment="1">
      <alignment horizontal="left" vertical="center"/>
    </xf>
    <xf numFmtId="0" fontId="102" fillId="0" borderId="13" xfId="0" applyFont="1" applyBorder="1" applyAlignment="1">
      <alignment horizontal="left" vertical="center"/>
    </xf>
    <xf numFmtId="180" fontId="95" fillId="0" borderId="11" xfId="0" applyNumberFormat="1" applyFont="1" applyFill="1" applyBorder="1" applyAlignment="1">
      <alignment/>
    </xf>
    <xf numFmtId="180" fontId="95" fillId="0" borderId="13" xfId="0" applyNumberFormat="1" applyFont="1" applyFill="1" applyBorder="1" applyAlignment="1">
      <alignment/>
    </xf>
    <xf numFmtId="2" fontId="122" fillId="0" borderId="11" xfId="0" applyNumberFormat="1" applyFont="1" applyBorder="1" applyAlignment="1">
      <alignment/>
    </xf>
    <xf numFmtId="2" fontId="122" fillId="0" borderId="57" xfId="0" applyNumberFormat="1" applyFont="1" applyBorder="1" applyAlignment="1">
      <alignment horizontal="right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123" fillId="0" borderId="0" xfId="0" applyFont="1" applyAlignment="1">
      <alignment horizontal="left"/>
    </xf>
    <xf numFmtId="0" fontId="95" fillId="0" borderId="13" xfId="0" applyFont="1" applyBorder="1" applyAlignment="1">
      <alignment horizontal="center" vertical="center"/>
    </xf>
    <xf numFmtId="0" fontId="103" fillId="0" borderId="48" xfId="0" applyFont="1" applyFill="1" applyBorder="1" applyAlignment="1">
      <alignment horizontal="center" vertical="center"/>
    </xf>
    <xf numFmtId="0" fontId="104" fillId="0" borderId="13" xfId="0" applyFont="1" applyBorder="1" applyAlignment="1">
      <alignment horizontal="left" vertical="center"/>
    </xf>
    <xf numFmtId="0" fontId="104" fillId="0" borderId="13" xfId="0" applyFont="1" applyBorder="1" applyAlignment="1">
      <alignment horizontal="left" vertical="center" wrapText="1"/>
    </xf>
    <xf numFmtId="0" fontId="102" fillId="0" borderId="13" xfId="0" applyFont="1" applyFill="1" applyBorder="1" applyAlignment="1">
      <alignment horizontal="center" vertical="center"/>
    </xf>
    <xf numFmtId="0" fontId="95" fillId="0" borderId="13" xfId="0" applyFont="1" applyBorder="1" applyAlignment="1">
      <alignment horizontal="left" vertical="center"/>
    </xf>
    <xf numFmtId="0" fontId="102" fillId="0" borderId="13" xfId="0" applyFont="1" applyBorder="1" applyAlignment="1">
      <alignment horizontal="left" vertical="center"/>
    </xf>
    <xf numFmtId="0" fontId="95" fillId="0" borderId="48" xfId="0" applyFont="1" applyFill="1" applyBorder="1" applyAlignment="1">
      <alignment horizontal="center" vertical="center"/>
    </xf>
    <xf numFmtId="2" fontId="125" fillId="0" borderId="55" xfId="0" applyNumberFormat="1" applyFont="1" applyBorder="1" applyAlignment="1">
      <alignment horizontal="right"/>
    </xf>
    <xf numFmtId="0" fontId="103" fillId="0" borderId="40" xfId="0" applyFont="1" applyFill="1" applyBorder="1" applyAlignment="1">
      <alignment horizontal="center" vertical="center"/>
    </xf>
    <xf numFmtId="0" fontId="104" fillId="0" borderId="31" xfId="0" applyFont="1" applyBorder="1" applyAlignment="1">
      <alignment horizontal="left" vertical="center"/>
    </xf>
    <xf numFmtId="0" fontId="29" fillId="0" borderId="60" xfId="0" applyFont="1" applyBorder="1" applyAlignment="1">
      <alignment horizontal="center"/>
    </xf>
    <xf numFmtId="0" fontId="102" fillId="0" borderId="31" xfId="0" applyFont="1" applyBorder="1" applyAlignment="1">
      <alignment/>
    </xf>
    <xf numFmtId="2" fontId="125" fillId="0" borderId="42" xfId="0" applyNumberFormat="1" applyFont="1" applyBorder="1" applyAlignment="1">
      <alignment horizontal="right"/>
    </xf>
    <xf numFmtId="0" fontId="104" fillId="0" borderId="13" xfId="0" applyFont="1" applyBorder="1" applyAlignment="1">
      <alignment horizontal="left" vertical="center"/>
    </xf>
    <xf numFmtId="0" fontId="15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23" fillId="0" borderId="0" xfId="0" applyFont="1" applyAlignment="1">
      <alignment horizontal="left"/>
    </xf>
    <xf numFmtId="0" fontId="35" fillId="0" borderId="0" xfId="0" applyFont="1" applyFill="1" applyAlignment="1">
      <alignment horizontal="left" wrapText="1"/>
    </xf>
    <xf numFmtId="0" fontId="95" fillId="0" borderId="11" xfId="0" applyFont="1" applyBorder="1" applyAlignment="1">
      <alignment horizontal="center" vertical="center"/>
    </xf>
    <xf numFmtId="0" fontId="95" fillId="0" borderId="13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55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55" xfId="0" applyFont="1" applyBorder="1" applyAlignment="1">
      <alignment horizontal="left"/>
    </xf>
    <xf numFmtId="0" fontId="3" fillId="0" borderId="49" xfId="0" applyFont="1" applyFill="1" applyBorder="1" applyAlignment="1">
      <alignment horizontal="center" vertical="center"/>
    </xf>
    <xf numFmtId="0" fontId="125" fillId="0" borderId="52" xfId="0" applyFont="1" applyBorder="1" applyAlignment="1">
      <alignment horizontal="center" vertical="center"/>
    </xf>
    <xf numFmtId="0" fontId="125" fillId="0" borderId="50" xfId="0" applyFont="1" applyBorder="1" applyAlignment="1">
      <alignment horizontal="center" vertical="center"/>
    </xf>
    <xf numFmtId="0" fontId="125" fillId="0" borderId="0" xfId="0" applyFont="1" applyBorder="1" applyAlignment="1">
      <alignment horizontal="center" vertical="center"/>
    </xf>
    <xf numFmtId="0" fontId="125" fillId="0" borderId="57" xfId="0" applyFont="1" applyBorder="1" applyAlignment="1">
      <alignment horizontal="center" vertical="center"/>
    </xf>
    <xf numFmtId="0" fontId="103" fillId="0" borderId="48" xfId="0" applyFont="1" applyFill="1" applyBorder="1" applyAlignment="1">
      <alignment horizontal="center" vertical="center"/>
    </xf>
    <xf numFmtId="0" fontId="103" fillId="0" borderId="51" xfId="0" applyFont="1" applyFill="1" applyBorder="1" applyAlignment="1">
      <alignment horizontal="center" vertical="center"/>
    </xf>
    <xf numFmtId="0" fontId="104" fillId="0" borderId="13" xfId="0" applyFont="1" applyBorder="1" applyAlignment="1">
      <alignment horizontal="left" vertical="center" wrapText="1"/>
    </xf>
    <xf numFmtId="0" fontId="104" fillId="0" borderId="22" xfId="0" applyFont="1" applyBorder="1" applyAlignment="1">
      <alignment horizontal="left" vertical="center" wrapText="1"/>
    </xf>
    <xf numFmtId="0" fontId="102" fillId="0" borderId="13" xfId="0" applyFont="1" applyFill="1" applyBorder="1" applyAlignment="1">
      <alignment horizontal="center" vertical="center"/>
    </xf>
    <xf numFmtId="0" fontId="102" fillId="0" borderId="22" xfId="0" applyFont="1" applyFill="1" applyBorder="1" applyAlignment="1">
      <alignment horizontal="center" vertical="center"/>
    </xf>
    <xf numFmtId="0" fontId="103" fillId="0" borderId="15" xfId="0" applyFont="1" applyFill="1" applyBorder="1" applyAlignment="1">
      <alignment horizontal="center" vertical="center"/>
    </xf>
    <xf numFmtId="0" fontId="104" fillId="0" borderId="13" xfId="0" applyFont="1" applyBorder="1" applyAlignment="1">
      <alignment horizontal="left" vertical="center"/>
    </xf>
    <xf numFmtId="0" fontId="104" fillId="0" borderId="16" xfId="0" applyFont="1" applyBorder="1" applyAlignment="1">
      <alignment horizontal="left" vertical="center"/>
    </xf>
    <xf numFmtId="0" fontId="104" fillId="0" borderId="22" xfId="0" applyFont="1" applyBorder="1" applyAlignment="1">
      <alignment horizontal="left" vertical="center"/>
    </xf>
    <xf numFmtId="0" fontId="37" fillId="0" borderId="65" xfId="0" applyFont="1" applyBorder="1" applyAlignment="1">
      <alignment horizontal="left" wrapText="1"/>
    </xf>
    <xf numFmtId="0" fontId="92" fillId="0" borderId="52" xfId="0" applyFont="1" applyBorder="1" applyAlignment="1">
      <alignment horizontal="center" vertical="center"/>
    </xf>
    <xf numFmtId="0" fontId="92" fillId="0" borderId="50" xfId="0" applyFont="1" applyBorder="1" applyAlignment="1">
      <alignment horizontal="center" vertical="center"/>
    </xf>
    <xf numFmtId="0" fontId="92" fillId="0" borderId="0" xfId="0" applyFont="1" applyBorder="1" applyAlignment="1">
      <alignment horizontal="center" vertical="center"/>
    </xf>
    <xf numFmtId="0" fontId="92" fillId="0" borderId="57" xfId="0" applyFont="1" applyBorder="1" applyAlignment="1">
      <alignment horizontal="center" vertical="center"/>
    </xf>
    <xf numFmtId="0" fontId="95" fillId="0" borderId="48" xfId="0" applyFont="1" applyFill="1" applyBorder="1" applyAlignment="1">
      <alignment horizontal="center" vertical="center"/>
    </xf>
    <xf numFmtId="0" fontId="95" fillId="0" borderId="51" xfId="0" applyFont="1" applyFill="1" applyBorder="1" applyAlignment="1">
      <alignment horizontal="center" vertical="center"/>
    </xf>
    <xf numFmtId="0" fontId="95" fillId="0" borderId="13" xfId="0" applyFont="1" applyBorder="1" applyAlignment="1">
      <alignment horizontal="left" vertical="center"/>
    </xf>
    <xf numFmtId="0" fontId="95" fillId="0" borderId="22" xfId="0" applyFont="1" applyBorder="1" applyAlignment="1">
      <alignment horizontal="left" vertical="center"/>
    </xf>
    <xf numFmtId="0" fontId="102" fillId="0" borderId="13" xfId="0" applyFont="1" applyBorder="1" applyAlignment="1">
      <alignment horizontal="left" vertical="center"/>
    </xf>
    <xf numFmtId="0" fontId="102" fillId="0" borderId="22" xfId="0" applyFont="1" applyBorder="1" applyAlignment="1">
      <alignment horizontal="left" vertical="center"/>
    </xf>
    <xf numFmtId="0" fontId="103" fillId="0" borderId="13" xfId="0" applyFont="1" applyFill="1" applyBorder="1" applyAlignment="1">
      <alignment horizontal="center" vertical="center"/>
    </xf>
    <xf numFmtId="0" fontId="103" fillId="0" borderId="22" xfId="0" applyFont="1" applyFill="1" applyBorder="1" applyAlignment="1">
      <alignment horizontal="center" vertical="center"/>
    </xf>
    <xf numFmtId="0" fontId="95" fillId="0" borderId="13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/>
    </xf>
    <xf numFmtId="0" fontId="92" fillId="0" borderId="18" xfId="0" applyFont="1" applyBorder="1" applyAlignment="1">
      <alignment horizontal="center" vertical="center"/>
    </xf>
    <xf numFmtId="0" fontId="92" fillId="0" borderId="17" xfId="0" applyFont="1" applyBorder="1" applyAlignment="1">
      <alignment horizontal="center" vertical="center"/>
    </xf>
    <xf numFmtId="0" fontId="92" fillId="0" borderId="53" xfId="0" applyFont="1" applyBorder="1" applyAlignment="1">
      <alignment horizontal="center" vertical="center"/>
    </xf>
    <xf numFmtId="0" fontId="92" fillId="0" borderId="55" xfId="0" applyFont="1" applyBorder="1" applyAlignment="1">
      <alignment horizontal="center" vertical="center"/>
    </xf>
    <xf numFmtId="0" fontId="92" fillId="0" borderId="19" xfId="0" applyFont="1" applyBorder="1" applyAlignment="1">
      <alignment horizontal="center" vertical="center"/>
    </xf>
    <xf numFmtId="0" fontId="92" fillId="0" borderId="23" xfId="0" applyFont="1" applyBorder="1" applyAlignment="1">
      <alignment horizontal="center" vertical="center"/>
    </xf>
    <xf numFmtId="0" fontId="101" fillId="0" borderId="66" xfId="0" applyFont="1" applyFill="1" applyBorder="1" applyAlignment="1">
      <alignment horizontal="center"/>
    </xf>
    <xf numFmtId="0" fontId="103" fillId="0" borderId="67" xfId="0" applyFont="1" applyFill="1" applyBorder="1" applyAlignment="1">
      <alignment horizontal="left" vertical="center"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yksciusiluma.lt/" TargetMode="External" /><Relationship Id="rId2" Type="http://schemas.openxmlformats.org/officeDocument/2006/relationships/hyperlink" Target="http://www.anyksciusiluma.lt/" TargetMode="External" /><Relationship Id="rId3" Type="http://schemas.openxmlformats.org/officeDocument/2006/relationships/hyperlink" Target="http://www.anyksciusiluma.lt/" TargetMode="External" /><Relationship Id="rId4" Type="http://schemas.openxmlformats.org/officeDocument/2006/relationships/hyperlink" Target="http://www.anyksciusiluma.lt/" TargetMode="External" /><Relationship Id="rId5" Type="http://schemas.openxmlformats.org/officeDocument/2006/relationships/hyperlink" Target="http://www.anyksciusiluma.lt/" TargetMode="External" /><Relationship Id="rId6" Type="http://schemas.openxmlformats.org/officeDocument/2006/relationships/hyperlink" Target="http://www.anyksciusiluma.lt/" TargetMode="External" /><Relationship Id="rId7" Type="http://schemas.openxmlformats.org/officeDocument/2006/relationships/hyperlink" Target="http://www.anyksciusiluma.lt/" TargetMode="External" /><Relationship Id="rId8" Type="http://schemas.openxmlformats.org/officeDocument/2006/relationships/hyperlink" Target="http://www.anyksciusiluma.lt/" TargetMode="External" /><Relationship Id="rId9" Type="http://schemas.openxmlformats.org/officeDocument/2006/relationships/hyperlink" Target="http://www.anyksciusiluma.lt/" TargetMode="External" /><Relationship Id="rId10" Type="http://schemas.openxmlformats.org/officeDocument/2006/relationships/hyperlink" Target="http://www.anyksciusiluma.lt/" TargetMode="External" /><Relationship Id="rId11" Type="http://schemas.openxmlformats.org/officeDocument/2006/relationships/hyperlink" Target="http://www.anyksciusiluma.lt/" TargetMode="External" /><Relationship Id="rId12" Type="http://schemas.openxmlformats.org/officeDocument/2006/relationships/hyperlink" Target="http://www.anyksciusiluma.lt/" TargetMode="External" /><Relationship Id="rId13" Type="http://schemas.openxmlformats.org/officeDocument/2006/relationships/hyperlink" Target="http://www.anyksciusiluma.lt/" TargetMode="External" /><Relationship Id="rId14" Type="http://schemas.openxmlformats.org/officeDocument/2006/relationships/hyperlink" Target="http://www.anyksciusiluma.lt/" TargetMode="External" /><Relationship Id="rId15" Type="http://schemas.openxmlformats.org/officeDocument/2006/relationships/hyperlink" Target="http://www.anyksciusiluma.lt/" TargetMode="External" /><Relationship Id="rId16" Type="http://schemas.openxmlformats.org/officeDocument/2006/relationships/hyperlink" Target="http://www.anyksciusiluma.lt/" TargetMode="External" /><Relationship Id="rId17" Type="http://schemas.openxmlformats.org/officeDocument/2006/relationships/hyperlink" Target="http://www.anyksciusiluma.lt/" TargetMode="External" /><Relationship Id="rId18" Type="http://schemas.openxmlformats.org/officeDocument/2006/relationships/hyperlink" Target="http://www.anyksciusiluma.lt/" TargetMode="External" /><Relationship Id="rId19" Type="http://schemas.openxmlformats.org/officeDocument/2006/relationships/hyperlink" Target="http://www.anyksciusiluma.lt/" TargetMode="External" /><Relationship Id="rId20" Type="http://schemas.openxmlformats.org/officeDocument/2006/relationships/hyperlink" Target="mailto:ast.info@takas.lt" TargetMode="External" /><Relationship Id="rId21" Type="http://schemas.openxmlformats.org/officeDocument/2006/relationships/hyperlink" Target="http://www.anyksciusiluma.lt/" TargetMode="External" /><Relationship Id="rId22" Type="http://schemas.openxmlformats.org/officeDocument/2006/relationships/hyperlink" Target="mailto:ast.info@takas.lt" TargetMode="External" /><Relationship Id="rId2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64"/>
  <sheetViews>
    <sheetView tabSelected="1" zoomScalePageLayoutView="0" workbookViewId="0" topLeftCell="A1720">
      <selection activeCell="E2153" sqref="E2153"/>
    </sheetView>
  </sheetViews>
  <sheetFormatPr defaultColWidth="9.140625" defaultRowHeight="15"/>
  <cols>
    <col min="1" max="1" width="6.421875" style="0" customWidth="1"/>
    <col min="2" max="2" width="58.28125" style="0" customWidth="1"/>
    <col min="3" max="3" width="17.57421875" style="0" customWidth="1"/>
    <col min="4" max="4" width="32.421875" style="0" customWidth="1"/>
    <col min="5" max="5" width="12.28125" style="375" customWidth="1"/>
    <col min="6" max="6" width="11.28125" style="0" customWidth="1"/>
  </cols>
  <sheetData>
    <row r="1" spans="1:9" ht="15" hidden="1">
      <c r="A1" s="87" t="s">
        <v>0</v>
      </c>
      <c r="B1" s="87"/>
      <c r="C1" s="87"/>
      <c r="D1" s="87"/>
      <c r="E1" s="334" t="s">
        <v>107</v>
      </c>
      <c r="F1" s="3"/>
      <c r="G1" s="3"/>
      <c r="H1" s="3"/>
      <c r="I1" s="3"/>
    </row>
    <row r="2" spans="1:9" ht="15" hidden="1">
      <c r="A2" s="87" t="s">
        <v>1</v>
      </c>
      <c r="B2" s="87"/>
      <c r="C2" s="87"/>
      <c r="D2" s="87" t="s">
        <v>133</v>
      </c>
      <c r="E2" s="373"/>
      <c r="F2" s="3"/>
      <c r="G2" s="3"/>
      <c r="H2" s="3"/>
      <c r="I2" s="3"/>
    </row>
    <row r="3" spans="1:9" ht="15" hidden="1">
      <c r="A3" s="87" t="s">
        <v>2</v>
      </c>
      <c r="B3" s="87"/>
      <c r="C3" s="87"/>
      <c r="D3" s="87" t="s">
        <v>122</v>
      </c>
      <c r="E3" s="374"/>
      <c r="F3" s="3"/>
      <c r="G3" s="3"/>
      <c r="H3" s="3"/>
      <c r="I3" s="3"/>
    </row>
    <row r="4" spans="1:9" ht="15" hidden="1">
      <c r="A4" s="87" t="s">
        <v>3</v>
      </c>
      <c r="B4" s="87"/>
      <c r="C4" s="87"/>
      <c r="D4" s="87" t="s">
        <v>123</v>
      </c>
      <c r="E4" s="373"/>
      <c r="F4" s="3"/>
      <c r="G4" s="3"/>
      <c r="H4" s="3"/>
      <c r="I4" s="3"/>
    </row>
    <row r="5" spans="1:9" ht="15" hidden="1">
      <c r="A5" s="87" t="s">
        <v>4</v>
      </c>
      <c r="B5" s="87"/>
      <c r="C5" s="87"/>
      <c r="D5" s="87" t="s">
        <v>124</v>
      </c>
      <c r="E5" s="373"/>
      <c r="F5" s="3"/>
      <c r="G5" s="3"/>
      <c r="H5" s="3"/>
      <c r="I5" s="3"/>
    </row>
    <row r="6" spans="1:9" ht="15" hidden="1">
      <c r="A6" s="107" t="s">
        <v>147</v>
      </c>
      <c r="B6" s="87"/>
      <c r="C6" s="87"/>
      <c r="D6" s="87"/>
      <c r="E6" s="373"/>
      <c r="F6" s="3"/>
      <c r="G6" s="3"/>
      <c r="H6" s="3"/>
      <c r="I6" s="3"/>
    </row>
    <row r="7" spans="1:9" ht="15" hidden="1">
      <c r="A7" s="87" t="s">
        <v>5</v>
      </c>
      <c r="B7" s="87"/>
      <c r="C7" s="87"/>
      <c r="D7" s="87" t="s">
        <v>125</v>
      </c>
      <c r="E7" s="373"/>
      <c r="F7" s="3"/>
      <c r="G7" s="3"/>
      <c r="H7" s="3"/>
      <c r="I7" s="3"/>
    </row>
    <row r="8" spans="1:9" ht="15" hidden="1">
      <c r="A8" s="1"/>
      <c r="B8" s="1"/>
      <c r="C8" s="1"/>
      <c r="D8" s="1"/>
      <c r="E8" s="316"/>
      <c r="F8" s="1"/>
      <c r="G8" s="1"/>
      <c r="H8" s="1"/>
      <c r="I8" s="1"/>
    </row>
    <row r="9" spans="1:9" ht="15.75" hidden="1">
      <c r="A9" s="96"/>
      <c r="B9" s="96" t="s">
        <v>139</v>
      </c>
      <c r="C9" s="2"/>
      <c r="D9" s="2"/>
      <c r="F9" s="2"/>
      <c r="G9" s="2"/>
      <c r="H9" s="2"/>
      <c r="I9" s="2"/>
    </row>
    <row r="10" spans="1:9" ht="15.75" hidden="1">
      <c r="A10" s="96"/>
      <c r="B10" s="96"/>
      <c r="C10" s="105">
        <v>41479</v>
      </c>
      <c r="D10" s="2"/>
      <c r="F10" s="2"/>
      <c r="G10" s="2"/>
      <c r="H10" s="2"/>
      <c r="I10" s="2"/>
    </row>
    <row r="11" spans="1:9" ht="15.75" hidden="1">
      <c r="A11" s="96"/>
      <c r="B11" s="96"/>
      <c r="C11" s="106" t="s">
        <v>146</v>
      </c>
      <c r="D11" s="2"/>
      <c r="F11" s="2"/>
      <c r="G11" s="2"/>
      <c r="H11" s="2"/>
      <c r="I11" s="2"/>
    </row>
    <row r="12" spans="1:9" ht="15" hidden="1">
      <c r="A12" s="2" t="s">
        <v>6</v>
      </c>
      <c r="B12" s="2"/>
      <c r="C12" s="2"/>
      <c r="D12" s="2"/>
      <c r="E12" s="376"/>
      <c r="F12" s="1"/>
      <c r="G12" s="1"/>
      <c r="H12" s="1"/>
      <c r="I12" s="1"/>
    </row>
    <row r="13" spans="1:9" ht="15" hidden="1">
      <c r="A13" s="1" t="s">
        <v>150</v>
      </c>
      <c r="B13" s="1"/>
      <c r="C13" s="1"/>
      <c r="D13" s="1"/>
      <c r="E13" s="316"/>
      <c r="F13" s="1"/>
      <c r="G13" s="1"/>
      <c r="H13" s="1"/>
      <c r="I13" s="1"/>
    </row>
    <row r="14" spans="1:9" ht="15" hidden="1">
      <c r="A14" s="1" t="s">
        <v>7</v>
      </c>
      <c r="B14" s="1"/>
      <c r="C14" s="1"/>
      <c r="D14" s="1"/>
      <c r="E14" s="316"/>
      <c r="F14" s="1"/>
      <c r="G14" s="1"/>
      <c r="H14" s="1"/>
      <c r="I14" s="1"/>
    </row>
    <row r="15" spans="1:9" ht="15" hidden="1">
      <c r="A15" s="1"/>
      <c r="B15" s="1"/>
      <c r="C15" s="1"/>
      <c r="D15" s="1"/>
      <c r="E15" s="316"/>
      <c r="F15" s="1"/>
      <c r="G15" s="1"/>
      <c r="H15" s="1"/>
      <c r="I15" s="1"/>
    </row>
    <row r="16" spans="1:9" ht="15" hidden="1">
      <c r="A16" s="25" t="s">
        <v>8</v>
      </c>
      <c r="B16" s="25" t="s">
        <v>9</v>
      </c>
      <c r="C16" s="25" t="s">
        <v>10</v>
      </c>
      <c r="D16" s="25" t="s">
        <v>11</v>
      </c>
      <c r="E16" s="377" t="s">
        <v>12</v>
      </c>
      <c r="F16" s="1"/>
      <c r="G16" s="1"/>
      <c r="H16" s="1"/>
      <c r="I16" s="1"/>
    </row>
    <row r="17" spans="1:9" ht="15" hidden="1">
      <c r="A17" s="24">
        <v>1</v>
      </c>
      <c r="B17" s="24">
        <v>2</v>
      </c>
      <c r="C17" s="24">
        <v>3</v>
      </c>
      <c r="D17" s="24">
        <v>4</v>
      </c>
      <c r="E17" s="378">
        <v>5</v>
      </c>
      <c r="F17" s="1"/>
      <c r="G17" s="1"/>
      <c r="H17" s="1"/>
      <c r="I17" s="1"/>
    </row>
    <row r="18" spans="1:9" ht="15" hidden="1">
      <c r="A18" s="34" t="s">
        <v>13</v>
      </c>
      <c r="B18" s="26" t="s">
        <v>14</v>
      </c>
      <c r="C18" s="26"/>
      <c r="D18" s="26"/>
      <c r="E18" s="379"/>
      <c r="F18" s="1"/>
      <c r="G18" s="1"/>
      <c r="H18" s="1"/>
      <c r="I18" s="109"/>
    </row>
    <row r="19" spans="1:9" ht="17.25" hidden="1">
      <c r="A19" s="34" t="s">
        <v>15</v>
      </c>
      <c r="B19" s="88" t="s">
        <v>138</v>
      </c>
      <c r="C19" s="9" t="s">
        <v>59</v>
      </c>
      <c r="D19" s="90" t="s">
        <v>134</v>
      </c>
      <c r="E19" s="380" t="e">
        <f>E20+E21</f>
        <v>#REF!</v>
      </c>
      <c r="F19" s="1"/>
      <c r="G19" s="1"/>
      <c r="H19" s="1"/>
      <c r="I19" s="1"/>
    </row>
    <row r="20" spans="1:9" ht="18.75" hidden="1">
      <c r="A20" s="25" t="s">
        <v>16</v>
      </c>
      <c r="B20" s="24" t="s">
        <v>18</v>
      </c>
      <c r="C20" s="11" t="s">
        <v>59</v>
      </c>
      <c r="D20" s="77" t="s">
        <v>126</v>
      </c>
      <c r="E20" s="381">
        <v>4.57</v>
      </c>
      <c r="F20" s="1"/>
      <c r="G20" s="1"/>
      <c r="H20" s="1"/>
      <c r="I20" s="1"/>
    </row>
    <row r="21" spans="1:9" ht="33" hidden="1">
      <c r="A21" s="35" t="s">
        <v>17</v>
      </c>
      <c r="B21" s="104" t="s">
        <v>19</v>
      </c>
      <c r="C21" s="27" t="s">
        <v>59</v>
      </c>
      <c r="D21" s="28" t="s">
        <v>20</v>
      </c>
      <c r="E21" s="382" t="e">
        <f>0.28+((4325*E26+((226+106.1)*E30)+509*E34)/(44.84*1000))/10</f>
        <v>#REF!</v>
      </c>
      <c r="F21" s="1"/>
      <c r="G21" s="1"/>
      <c r="H21" s="1"/>
      <c r="I21" s="1"/>
    </row>
    <row r="22" spans="1:9" ht="15" hidden="1">
      <c r="A22" s="25" t="s">
        <v>21</v>
      </c>
      <c r="B22" s="30" t="s">
        <v>22</v>
      </c>
      <c r="C22" s="31"/>
      <c r="D22" s="33"/>
      <c r="E22" s="383"/>
      <c r="F22" s="1"/>
      <c r="G22" s="1"/>
      <c r="H22" s="1"/>
      <c r="I22" s="1"/>
    </row>
    <row r="23" spans="1:9" ht="15" hidden="1">
      <c r="A23" s="47" t="s">
        <v>23</v>
      </c>
      <c r="B23" s="48" t="s">
        <v>24</v>
      </c>
      <c r="C23" s="49"/>
      <c r="D23" s="49"/>
      <c r="E23" s="384"/>
      <c r="F23" s="1"/>
      <c r="G23" s="1"/>
      <c r="H23" s="1"/>
      <c r="I23" s="1"/>
    </row>
    <row r="24" spans="1:9" ht="15" hidden="1">
      <c r="A24" s="25" t="s">
        <v>25</v>
      </c>
      <c r="B24" s="24" t="s">
        <v>26</v>
      </c>
      <c r="C24" s="32" t="s">
        <v>41</v>
      </c>
      <c r="D24" s="24"/>
      <c r="E24" s="378"/>
      <c r="F24" s="1"/>
      <c r="G24" s="1"/>
      <c r="H24" s="1"/>
      <c r="I24" s="1"/>
    </row>
    <row r="25" spans="1:9" ht="15" hidden="1">
      <c r="A25" s="25" t="s">
        <v>27</v>
      </c>
      <c r="B25" s="24" t="s">
        <v>28</v>
      </c>
      <c r="C25" s="5" t="s">
        <v>41</v>
      </c>
      <c r="D25" s="24"/>
      <c r="E25" s="378"/>
      <c r="F25" s="1"/>
      <c r="G25" s="1"/>
      <c r="H25" s="1"/>
      <c r="I25" s="1"/>
    </row>
    <row r="26" spans="1:9" ht="15" hidden="1">
      <c r="A26" s="25" t="s">
        <v>29</v>
      </c>
      <c r="B26" s="38" t="s">
        <v>30</v>
      </c>
      <c r="C26" s="39" t="s">
        <v>41</v>
      </c>
      <c r="D26" s="24"/>
      <c r="E26" s="378">
        <f>1278.41+37.53+275.02</f>
        <v>1590.96</v>
      </c>
      <c r="F26" s="1"/>
      <c r="G26" s="1"/>
      <c r="H26" s="1"/>
      <c r="I26" s="1"/>
    </row>
    <row r="27" spans="1:9" ht="15" hidden="1">
      <c r="A27" s="36" t="s">
        <v>31</v>
      </c>
      <c r="B27" s="41" t="s">
        <v>32</v>
      </c>
      <c r="C27" s="42"/>
      <c r="D27" s="42"/>
      <c r="E27" s="385"/>
      <c r="F27" s="1"/>
      <c r="G27" s="1"/>
      <c r="H27" s="1"/>
      <c r="I27" s="1"/>
    </row>
    <row r="28" spans="1:9" ht="15" hidden="1">
      <c r="A28" s="25" t="s">
        <v>35</v>
      </c>
      <c r="B28" s="24" t="s">
        <v>26</v>
      </c>
      <c r="C28" s="40" t="s">
        <v>33</v>
      </c>
      <c r="D28" s="24"/>
      <c r="E28" s="378"/>
      <c r="F28" s="1"/>
      <c r="G28" s="1"/>
      <c r="H28" s="1"/>
      <c r="I28" s="1"/>
    </row>
    <row r="29" spans="1:9" ht="15" hidden="1">
      <c r="A29" s="25" t="s">
        <v>36</v>
      </c>
      <c r="B29" s="24" t="s">
        <v>28</v>
      </c>
      <c r="C29" s="4" t="s">
        <v>33</v>
      </c>
      <c r="D29" s="24"/>
      <c r="E29" s="378"/>
      <c r="F29" s="1"/>
      <c r="G29" s="1"/>
      <c r="H29" s="1"/>
      <c r="I29" s="1"/>
    </row>
    <row r="30" spans="1:9" ht="15" hidden="1">
      <c r="A30" s="25" t="s">
        <v>37</v>
      </c>
      <c r="B30" s="24" t="s">
        <v>30</v>
      </c>
      <c r="C30" s="43" t="s">
        <v>33</v>
      </c>
      <c r="D30" s="24"/>
      <c r="E30" s="386" t="e">
        <f>#REF!</f>
        <v>#REF!</v>
      </c>
      <c r="F30" s="1"/>
      <c r="G30" s="1"/>
      <c r="H30" s="1"/>
      <c r="I30" s="1"/>
    </row>
    <row r="31" spans="1:9" ht="15" hidden="1">
      <c r="A31" s="37" t="s">
        <v>34</v>
      </c>
      <c r="B31" s="45" t="s">
        <v>103</v>
      </c>
      <c r="C31" s="46"/>
      <c r="D31" s="46"/>
      <c r="E31" s="387"/>
      <c r="F31" s="1"/>
      <c r="G31" s="1"/>
      <c r="H31" s="1"/>
      <c r="I31" s="1"/>
    </row>
    <row r="32" spans="1:9" ht="15" hidden="1">
      <c r="A32" s="29" t="s">
        <v>38</v>
      </c>
      <c r="B32" s="44" t="s">
        <v>26</v>
      </c>
      <c r="C32" s="40" t="s">
        <v>33</v>
      </c>
      <c r="D32" s="24"/>
      <c r="E32" s="378"/>
      <c r="F32" s="1"/>
      <c r="G32" s="1"/>
      <c r="H32" s="1"/>
      <c r="I32" s="1"/>
    </row>
    <row r="33" spans="1:9" ht="15" hidden="1">
      <c r="A33" s="29" t="s">
        <v>39</v>
      </c>
      <c r="B33" s="24" t="s">
        <v>28</v>
      </c>
      <c r="C33" s="4" t="s">
        <v>33</v>
      </c>
      <c r="D33" s="24"/>
      <c r="E33" s="378"/>
      <c r="F33" s="1"/>
      <c r="G33" s="1"/>
      <c r="H33" s="1"/>
      <c r="I33" s="1"/>
    </row>
    <row r="34" spans="1:9" ht="15" hidden="1">
      <c r="A34" s="21" t="s">
        <v>40</v>
      </c>
      <c r="B34" s="38" t="s">
        <v>30</v>
      </c>
      <c r="C34" s="43" t="s">
        <v>33</v>
      </c>
      <c r="D34" s="24"/>
      <c r="E34" s="378">
        <v>774.63</v>
      </c>
      <c r="F34" s="1"/>
      <c r="G34" s="1"/>
      <c r="H34" s="1"/>
      <c r="I34" s="1"/>
    </row>
    <row r="35" spans="1:9" s="7" customFormat="1" ht="15" hidden="1">
      <c r="A35" s="50" t="s">
        <v>42</v>
      </c>
      <c r="B35" s="51" t="s">
        <v>43</v>
      </c>
      <c r="C35" s="52"/>
      <c r="D35" s="52"/>
      <c r="E35" s="388"/>
      <c r="F35" s="6"/>
      <c r="G35" s="6"/>
      <c r="H35" s="6"/>
      <c r="I35" s="6"/>
    </row>
    <row r="36" spans="1:9" ht="15" hidden="1">
      <c r="A36" s="24" t="s">
        <v>44</v>
      </c>
      <c r="B36" s="24" t="s">
        <v>104</v>
      </c>
      <c r="C36" s="24"/>
      <c r="D36" s="24"/>
      <c r="E36" s="377" t="s">
        <v>106</v>
      </c>
      <c r="F36" s="1"/>
      <c r="G36" s="1"/>
      <c r="H36" s="1"/>
      <c r="I36" s="1"/>
    </row>
    <row r="37" spans="1:9" ht="15" hidden="1">
      <c r="A37" s="24" t="s">
        <v>45</v>
      </c>
      <c r="B37" s="24" t="s">
        <v>105</v>
      </c>
      <c r="C37" s="11" t="s">
        <v>59</v>
      </c>
      <c r="D37" s="24"/>
      <c r="E37" s="378">
        <v>0</v>
      </c>
      <c r="F37" s="1"/>
      <c r="G37" s="1"/>
      <c r="H37" s="1"/>
      <c r="I37" s="1"/>
    </row>
    <row r="38" spans="1:9" s="93" customFormat="1" ht="17.25" hidden="1">
      <c r="A38" s="91" t="s">
        <v>46</v>
      </c>
      <c r="B38" s="91" t="s">
        <v>127</v>
      </c>
      <c r="C38" s="94" t="s">
        <v>59</v>
      </c>
      <c r="D38" s="95" t="s">
        <v>136</v>
      </c>
      <c r="E38" s="389"/>
      <c r="F38" s="92"/>
      <c r="G38" s="92"/>
      <c r="H38" s="92"/>
      <c r="I38" s="92"/>
    </row>
    <row r="39" spans="1:9" ht="18.75" hidden="1">
      <c r="A39" s="24" t="s">
        <v>48</v>
      </c>
      <c r="B39" s="24" t="s">
        <v>49</v>
      </c>
      <c r="C39" s="53" t="s">
        <v>59</v>
      </c>
      <c r="D39" s="77" t="s">
        <v>128</v>
      </c>
      <c r="E39" s="386">
        <f>E20</f>
        <v>4.57</v>
      </c>
      <c r="F39" s="1"/>
      <c r="G39" s="1"/>
      <c r="H39" s="1"/>
      <c r="I39" s="1"/>
    </row>
    <row r="40" spans="1:9" ht="33" hidden="1">
      <c r="A40" s="35" t="s">
        <v>50</v>
      </c>
      <c r="B40" s="35" t="s">
        <v>51</v>
      </c>
      <c r="C40" s="27" t="s">
        <v>59</v>
      </c>
      <c r="D40" s="54" t="s">
        <v>20</v>
      </c>
      <c r="E40" s="390" t="e">
        <f>E21</f>
        <v>#REF!</v>
      </c>
      <c r="F40" s="1"/>
      <c r="G40" s="1"/>
      <c r="H40" s="1"/>
      <c r="I40" s="1"/>
    </row>
    <row r="41" spans="1:9" ht="15" hidden="1">
      <c r="A41" s="24" t="s">
        <v>52</v>
      </c>
      <c r="B41" s="55" t="s">
        <v>53</v>
      </c>
      <c r="C41" s="33"/>
      <c r="D41" s="33"/>
      <c r="E41" s="383"/>
      <c r="F41" s="1"/>
      <c r="G41" s="1"/>
      <c r="H41" s="1"/>
      <c r="I41" s="1"/>
    </row>
    <row r="42" spans="1:9" ht="15" hidden="1">
      <c r="A42" s="24" t="s">
        <v>54</v>
      </c>
      <c r="B42" s="24" t="s">
        <v>55</v>
      </c>
      <c r="C42" s="11" t="s">
        <v>56</v>
      </c>
      <c r="D42" s="24"/>
      <c r="E42" s="378">
        <v>33.57</v>
      </c>
      <c r="F42" s="1"/>
      <c r="G42" s="1"/>
      <c r="H42" s="1"/>
      <c r="I42" s="1"/>
    </row>
    <row r="43" spans="1:9" ht="15" hidden="1">
      <c r="A43" s="24" t="s">
        <v>57</v>
      </c>
      <c r="B43" s="24" t="s">
        <v>58</v>
      </c>
      <c r="C43" s="11" t="s">
        <v>59</v>
      </c>
      <c r="D43" s="56" t="s">
        <v>47</v>
      </c>
      <c r="E43" s="378"/>
      <c r="F43" s="1"/>
      <c r="G43" s="1"/>
      <c r="H43" s="1"/>
      <c r="I43" s="1"/>
    </row>
    <row r="44" spans="1:9" ht="15" hidden="1">
      <c r="A44" s="34" t="s">
        <v>60</v>
      </c>
      <c r="B44" s="559" t="s">
        <v>61</v>
      </c>
      <c r="C44" s="560"/>
      <c r="D44" s="560"/>
      <c r="E44" s="561"/>
      <c r="F44" s="1"/>
      <c r="G44" s="1"/>
      <c r="H44" s="1"/>
      <c r="I44" s="1"/>
    </row>
    <row r="45" spans="1:9" s="8" customFormat="1" ht="17.25" hidden="1">
      <c r="A45" s="12" t="s">
        <v>62</v>
      </c>
      <c r="B45" s="16" t="s">
        <v>137</v>
      </c>
      <c r="C45" s="9" t="s">
        <v>59</v>
      </c>
      <c r="D45" s="95" t="s">
        <v>135</v>
      </c>
      <c r="E45" s="380" t="e">
        <f>E46+E47</f>
        <v>#REF!</v>
      </c>
      <c r="F45" s="2"/>
      <c r="G45" s="2"/>
      <c r="H45" s="2"/>
      <c r="I45" s="2"/>
    </row>
    <row r="46" spans="1:9" ht="18.75" hidden="1">
      <c r="A46" s="13" t="s">
        <v>63</v>
      </c>
      <c r="B46" s="14" t="s">
        <v>64</v>
      </c>
      <c r="C46" s="11" t="s">
        <v>59</v>
      </c>
      <c r="D46" s="77" t="s">
        <v>129</v>
      </c>
      <c r="E46" s="378">
        <v>2.39</v>
      </c>
      <c r="F46" s="1"/>
      <c r="G46" s="1"/>
      <c r="H46" s="1"/>
      <c r="I46" s="1"/>
    </row>
    <row r="47" spans="1:9" ht="18.75" hidden="1">
      <c r="A47" s="13" t="s">
        <v>65</v>
      </c>
      <c r="B47" s="15" t="s">
        <v>66</v>
      </c>
      <c r="C47" s="20"/>
      <c r="D47" s="89" t="s">
        <v>130</v>
      </c>
      <c r="E47" s="386" t="e">
        <f>0.39+(7.24*E19/37.6)</f>
        <v>#REF!</v>
      </c>
      <c r="F47" s="1"/>
      <c r="G47" s="1"/>
      <c r="H47" s="1"/>
      <c r="I47" s="1"/>
    </row>
    <row r="48" spans="1:9" ht="15" hidden="1">
      <c r="A48" s="12" t="s">
        <v>67</v>
      </c>
      <c r="B48" s="16" t="s">
        <v>68</v>
      </c>
      <c r="C48" s="9"/>
      <c r="D48" s="24"/>
      <c r="E48" s="378"/>
      <c r="F48" s="1"/>
      <c r="G48" s="1"/>
      <c r="H48" s="1"/>
      <c r="I48" s="1"/>
    </row>
    <row r="49" spans="1:9" ht="15" hidden="1">
      <c r="A49" s="12" t="s">
        <v>69</v>
      </c>
      <c r="B49" s="17" t="s">
        <v>55</v>
      </c>
      <c r="C49" s="10" t="s">
        <v>56</v>
      </c>
      <c r="D49" s="24"/>
      <c r="E49" s="378"/>
      <c r="F49" s="1"/>
      <c r="G49" s="1"/>
      <c r="H49" s="1"/>
      <c r="I49" s="1"/>
    </row>
    <row r="50" spans="1:9" ht="18.75" hidden="1">
      <c r="A50" s="12" t="s">
        <v>70</v>
      </c>
      <c r="B50" s="17" t="s">
        <v>71</v>
      </c>
      <c r="C50" s="11" t="s">
        <v>59</v>
      </c>
      <c r="D50" s="77" t="s">
        <v>131</v>
      </c>
      <c r="E50" s="378"/>
      <c r="F50" s="1"/>
      <c r="G50" s="1"/>
      <c r="H50" s="1"/>
      <c r="I50" s="1"/>
    </row>
    <row r="51" spans="1:5" ht="15" hidden="1">
      <c r="A51" s="81" t="s">
        <v>72</v>
      </c>
      <c r="B51" s="562" t="s">
        <v>73</v>
      </c>
      <c r="C51" s="563"/>
      <c r="D51" s="563"/>
      <c r="E51" s="564"/>
    </row>
    <row r="52" spans="1:5" ht="15" hidden="1">
      <c r="A52" s="548" t="s">
        <v>79</v>
      </c>
      <c r="B52" s="18" t="s">
        <v>74</v>
      </c>
      <c r="C52" s="11" t="s">
        <v>59</v>
      </c>
      <c r="D52" s="79" t="s">
        <v>106</v>
      </c>
      <c r="E52" s="315">
        <v>0.31</v>
      </c>
    </row>
    <row r="53" spans="1:5" ht="15" hidden="1">
      <c r="A53" s="565"/>
      <c r="B53" s="19" t="s">
        <v>75</v>
      </c>
      <c r="C53" s="53" t="s">
        <v>76</v>
      </c>
      <c r="D53" s="79" t="s">
        <v>106</v>
      </c>
      <c r="E53" s="315">
        <v>2.32</v>
      </c>
    </row>
    <row r="54" spans="1:5" ht="15.75" hidden="1" thickBot="1">
      <c r="A54" s="565"/>
      <c r="B54" s="19" t="s">
        <v>77</v>
      </c>
      <c r="C54" s="78" t="s">
        <v>78</v>
      </c>
      <c r="D54" s="79" t="s">
        <v>106</v>
      </c>
      <c r="E54" s="315">
        <v>46.02</v>
      </c>
    </row>
    <row r="55" spans="1:5" ht="15" hidden="1">
      <c r="A55" s="81" t="s">
        <v>80</v>
      </c>
      <c r="B55" s="82" t="s">
        <v>81</v>
      </c>
      <c r="C55" s="11" t="s">
        <v>59</v>
      </c>
      <c r="D55" s="62"/>
      <c r="E55" s="315">
        <v>0.12</v>
      </c>
    </row>
    <row r="56" spans="1:5" ht="15" hidden="1">
      <c r="A56" s="81" t="s">
        <v>82</v>
      </c>
      <c r="B56" s="82" t="s">
        <v>83</v>
      </c>
      <c r="C56" s="11" t="s">
        <v>59</v>
      </c>
      <c r="D56" s="62"/>
      <c r="E56" s="315">
        <v>-0.27</v>
      </c>
    </row>
    <row r="57" spans="1:5" ht="15" hidden="1">
      <c r="A57" s="81" t="s">
        <v>84</v>
      </c>
      <c r="B57" s="82" t="s">
        <v>132</v>
      </c>
      <c r="C57" s="11" t="s">
        <v>59</v>
      </c>
      <c r="D57" s="62"/>
      <c r="E57" s="391" t="e">
        <f>E19+E45+E52+E55+E56</f>
        <v>#REF!</v>
      </c>
    </row>
    <row r="58" spans="1:5" ht="15" hidden="1">
      <c r="A58" s="81" t="s">
        <v>85</v>
      </c>
      <c r="B58" s="82" t="s">
        <v>86</v>
      </c>
      <c r="C58" s="11" t="s">
        <v>59</v>
      </c>
      <c r="D58" s="62"/>
      <c r="E58" s="315">
        <v>0</v>
      </c>
    </row>
    <row r="59" spans="1:5" ht="15" hidden="1">
      <c r="A59" s="81" t="s">
        <v>87</v>
      </c>
      <c r="B59" s="82" t="s">
        <v>88</v>
      </c>
      <c r="C59" s="9" t="s">
        <v>59</v>
      </c>
      <c r="D59" s="84"/>
      <c r="E59" s="392" t="e">
        <f>E57</f>
        <v>#REF!</v>
      </c>
    </row>
    <row r="60" spans="1:5" ht="15" hidden="1">
      <c r="A60" s="81" t="s">
        <v>89</v>
      </c>
      <c r="B60" s="82" t="s">
        <v>90</v>
      </c>
      <c r="C60" s="9" t="s">
        <v>59</v>
      </c>
      <c r="D60" s="84"/>
      <c r="E60" s="392" t="e">
        <f>E59*1.09</f>
        <v>#REF!</v>
      </c>
    </row>
    <row r="61" spans="1:5" ht="15" hidden="1">
      <c r="A61" s="81" t="s">
        <v>91</v>
      </c>
      <c r="B61" s="82" t="s">
        <v>92</v>
      </c>
      <c r="C61" s="9" t="s">
        <v>59</v>
      </c>
      <c r="D61" s="84"/>
      <c r="E61" s="353"/>
    </row>
    <row r="62" spans="1:5" ht="15" hidden="1">
      <c r="A62" s="81" t="s">
        <v>93</v>
      </c>
      <c r="B62" s="82" t="s">
        <v>94</v>
      </c>
      <c r="C62" s="81" t="s">
        <v>95</v>
      </c>
      <c r="D62" s="84"/>
      <c r="E62" s="353"/>
    </row>
    <row r="63" spans="1:5" ht="15" hidden="1">
      <c r="A63" s="81" t="s">
        <v>96</v>
      </c>
      <c r="B63" s="83" t="s">
        <v>97</v>
      </c>
      <c r="C63" s="85" t="s">
        <v>98</v>
      </c>
      <c r="D63" s="86"/>
      <c r="E63" s="315"/>
    </row>
    <row r="64" spans="1:5" ht="15" hidden="1">
      <c r="A64" s="81" t="s">
        <v>99</v>
      </c>
      <c r="B64" s="83" t="s">
        <v>100</v>
      </c>
      <c r="C64" s="80" t="s">
        <v>98</v>
      </c>
      <c r="D64" s="62"/>
      <c r="E64" s="315"/>
    </row>
    <row r="65" spans="1:5" ht="15.75" hidden="1" thickBot="1">
      <c r="A65" s="22" t="s">
        <v>101</v>
      </c>
      <c r="B65" s="23" t="s">
        <v>102</v>
      </c>
      <c r="C65" s="80" t="s">
        <v>98</v>
      </c>
      <c r="D65" s="62"/>
      <c r="E65" s="315">
        <v>0</v>
      </c>
    </row>
    <row r="66" ht="15" hidden="1"/>
    <row r="67" ht="15" hidden="1"/>
    <row r="68" ht="15" hidden="1"/>
    <row r="69" ht="15" hidden="1"/>
    <row r="70" spans="2:4" ht="15" hidden="1">
      <c r="B70" t="s">
        <v>144</v>
      </c>
      <c r="C70" t="s">
        <v>148</v>
      </c>
      <c r="D70" s="101" t="s">
        <v>145</v>
      </c>
    </row>
    <row r="71" ht="15" hidden="1">
      <c r="C71" s="108" t="s">
        <v>149</v>
      </c>
    </row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spans="1:5" ht="15" hidden="1">
      <c r="A92" s="87" t="s">
        <v>0</v>
      </c>
      <c r="B92" s="87"/>
      <c r="C92" s="87"/>
      <c r="D92" s="87"/>
      <c r="E92" s="334" t="s">
        <v>107</v>
      </c>
    </row>
    <row r="93" spans="1:5" ht="15" hidden="1">
      <c r="A93" s="87" t="s">
        <v>1</v>
      </c>
      <c r="B93" s="87"/>
      <c r="C93" s="87"/>
      <c r="D93" s="87" t="s">
        <v>133</v>
      </c>
      <c r="E93" s="373"/>
    </row>
    <row r="94" spans="1:5" ht="15" hidden="1">
      <c r="A94" s="87" t="s">
        <v>2</v>
      </c>
      <c r="B94" s="87"/>
      <c r="C94" s="87"/>
      <c r="D94" s="87" t="s">
        <v>122</v>
      </c>
      <c r="E94" s="374"/>
    </row>
    <row r="95" spans="1:5" ht="15" hidden="1">
      <c r="A95" s="87" t="s">
        <v>3</v>
      </c>
      <c r="B95" s="87"/>
      <c r="C95" s="87"/>
      <c r="D95" s="87" t="s">
        <v>123</v>
      </c>
      <c r="E95" s="373"/>
    </row>
    <row r="96" spans="1:5" ht="15" hidden="1">
      <c r="A96" s="87" t="s">
        <v>4</v>
      </c>
      <c r="B96" s="87"/>
      <c r="C96" s="87"/>
      <c r="D96" s="87" t="s">
        <v>124</v>
      </c>
      <c r="E96" s="373"/>
    </row>
    <row r="97" spans="1:5" ht="15" hidden="1">
      <c r="A97" s="107" t="s">
        <v>147</v>
      </c>
      <c r="B97" s="87"/>
      <c r="C97" s="87"/>
      <c r="D97" s="87"/>
      <c r="E97" s="373"/>
    </row>
    <row r="98" spans="1:5" ht="15" hidden="1">
      <c r="A98" s="87" t="s">
        <v>5</v>
      </c>
      <c r="B98" s="87"/>
      <c r="C98" s="87"/>
      <c r="D98" s="87" t="s">
        <v>125</v>
      </c>
      <c r="E98" s="373"/>
    </row>
    <row r="99" spans="1:5" ht="15" hidden="1">
      <c r="A99" s="1"/>
      <c r="B99" s="1"/>
      <c r="C99" s="1"/>
      <c r="D99" s="1"/>
      <c r="E99" s="316"/>
    </row>
    <row r="100" spans="1:4" ht="15.75" hidden="1">
      <c r="A100" s="96"/>
      <c r="B100" s="96" t="s">
        <v>151</v>
      </c>
      <c r="C100" s="2"/>
      <c r="D100" s="2"/>
    </row>
    <row r="101" spans="1:4" ht="15.75" hidden="1">
      <c r="A101" s="96"/>
      <c r="B101" s="96"/>
      <c r="C101" s="105">
        <v>41506</v>
      </c>
      <c r="D101" s="2"/>
    </row>
    <row r="102" spans="1:4" ht="15.75" hidden="1">
      <c r="A102" s="96"/>
      <c r="B102" s="96"/>
      <c r="C102" s="106" t="s">
        <v>146</v>
      </c>
      <c r="D102" s="2"/>
    </row>
    <row r="103" spans="1:5" ht="15" hidden="1">
      <c r="A103" s="2" t="s">
        <v>6</v>
      </c>
      <c r="B103" s="2"/>
      <c r="C103" s="2"/>
      <c r="D103" s="2"/>
      <c r="E103" s="376"/>
    </row>
    <row r="104" spans="1:5" ht="15" hidden="1">
      <c r="A104" s="1" t="s">
        <v>150</v>
      </c>
      <c r="B104" s="1"/>
      <c r="C104" s="1"/>
      <c r="D104" s="1"/>
      <c r="E104" s="316"/>
    </row>
    <row r="105" spans="1:5" ht="15" hidden="1">
      <c r="A105" s="1" t="s">
        <v>7</v>
      </c>
      <c r="B105" s="1"/>
      <c r="C105" s="1"/>
      <c r="D105" s="1"/>
      <c r="E105" s="316"/>
    </row>
    <row r="106" spans="1:5" ht="15" hidden="1">
      <c r="A106" s="1"/>
      <c r="B106" s="1"/>
      <c r="C106" s="1"/>
      <c r="D106" s="1"/>
      <c r="E106" s="316"/>
    </row>
    <row r="107" spans="1:5" ht="15" hidden="1">
      <c r="A107" s="25" t="s">
        <v>8</v>
      </c>
      <c r="B107" s="25" t="s">
        <v>9</v>
      </c>
      <c r="C107" s="25" t="s">
        <v>10</v>
      </c>
      <c r="D107" s="25" t="s">
        <v>11</v>
      </c>
      <c r="E107" s="377" t="s">
        <v>12</v>
      </c>
    </row>
    <row r="108" spans="1:5" ht="15" hidden="1">
      <c r="A108" s="24">
        <v>1</v>
      </c>
      <c r="B108" s="24">
        <v>2</v>
      </c>
      <c r="C108" s="24">
        <v>3</v>
      </c>
      <c r="D108" s="24">
        <v>4</v>
      </c>
      <c r="E108" s="378">
        <v>5</v>
      </c>
    </row>
    <row r="109" spans="1:5" ht="15" hidden="1">
      <c r="A109" s="34" t="s">
        <v>13</v>
      </c>
      <c r="B109" s="26" t="s">
        <v>14</v>
      </c>
      <c r="C109" s="26"/>
      <c r="D109" s="26"/>
      <c r="E109" s="379"/>
    </row>
    <row r="110" spans="1:5" ht="17.25" hidden="1">
      <c r="A110" s="34" t="s">
        <v>15</v>
      </c>
      <c r="B110" s="88" t="s">
        <v>138</v>
      </c>
      <c r="C110" s="9" t="s">
        <v>59</v>
      </c>
      <c r="D110" s="90" t="s">
        <v>134</v>
      </c>
      <c r="E110" s="380" t="e">
        <f>E111+E112</f>
        <v>#REF!</v>
      </c>
    </row>
    <row r="111" spans="1:5" ht="18.75" hidden="1">
      <c r="A111" s="25" t="s">
        <v>16</v>
      </c>
      <c r="B111" s="24" t="s">
        <v>18</v>
      </c>
      <c r="C111" s="11" t="s">
        <v>59</v>
      </c>
      <c r="D111" s="77" t="s">
        <v>126</v>
      </c>
      <c r="E111" s="381">
        <v>4.57</v>
      </c>
    </row>
    <row r="112" spans="1:5" ht="33" hidden="1">
      <c r="A112" s="35" t="s">
        <v>17</v>
      </c>
      <c r="B112" s="104" t="s">
        <v>19</v>
      </c>
      <c r="C112" s="27" t="s">
        <v>59</v>
      </c>
      <c r="D112" s="28" t="s">
        <v>20</v>
      </c>
      <c r="E112" s="382" t="e">
        <f>0.28+((4325*E117+((226+106.1)*E121)+509*E125)/(44.84*1000))/10</f>
        <v>#REF!</v>
      </c>
    </row>
    <row r="113" spans="1:5" ht="15" hidden="1">
      <c r="A113" s="25" t="s">
        <v>21</v>
      </c>
      <c r="B113" s="30" t="s">
        <v>22</v>
      </c>
      <c r="C113" s="31"/>
      <c r="D113" s="33"/>
      <c r="E113" s="383"/>
    </row>
    <row r="114" spans="1:5" ht="15" hidden="1">
      <c r="A114" s="47" t="s">
        <v>23</v>
      </c>
      <c r="B114" s="48" t="s">
        <v>24</v>
      </c>
      <c r="C114" s="49"/>
      <c r="D114" s="49"/>
      <c r="E114" s="384"/>
    </row>
    <row r="115" spans="1:5" ht="15" hidden="1">
      <c r="A115" s="25" t="s">
        <v>25</v>
      </c>
      <c r="B115" s="24" t="s">
        <v>26</v>
      </c>
      <c r="C115" s="32" t="s">
        <v>41</v>
      </c>
      <c r="D115" s="24"/>
      <c r="E115" s="378"/>
    </row>
    <row r="116" spans="1:5" ht="15" hidden="1">
      <c r="A116" s="25" t="s">
        <v>27</v>
      </c>
      <c r="B116" s="24" t="s">
        <v>28</v>
      </c>
      <c r="C116" s="5" t="s">
        <v>41</v>
      </c>
      <c r="D116" s="24"/>
      <c r="E116" s="378"/>
    </row>
    <row r="117" spans="1:5" ht="15" hidden="1">
      <c r="A117" s="25" t="s">
        <v>29</v>
      </c>
      <c r="B117" s="38" t="s">
        <v>30</v>
      </c>
      <c r="C117" s="39" t="s">
        <v>41</v>
      </c>
      <c r="D117" s="24"/>
      <c r="E117" s="386" t="e">
        <f>#REF!+37.53+275.02</f>
        <v>#REF!</v>
      </c>
    </row>
    <row r="118" spans="1:5" ht="15" hidden="1">
      <c r="A118" s="36" t="s">
        <v>31</v>
      </c>
      <c r="B118" s="41" t="s">
        <v>32</v>
      </c>
      <c r="C118" s="42"/>
      <c r="D118" s="42"/>
      <c r="E118" s="385"/>
    </row>
    <row r="119" spans="1:5" ht="15" hidden="1">
      <c r="A119" s="25" t="s">
        <v>35</v>
      </c>
      <c r="B119" s="24" t="s">
        <v>26</v>
      </c>
      <c r="C119" s="40" t="s">
        <v>33</v>
      </c>
      <c r="D119" s="24"/>
      <c r="E119" s="378"/>
    </row>
    <row r="120" spans="1:5" ht="15" hidden="1">
      <c r="A120" s="25" t="s">
        <v>36</v>
      </c>
      <c r="B120" s="24" t="s">
        <v>28</v>
      </c>
      <c r="C120" s="4" t="s">
        <v>33</v>
      </c>
      <c r="D120" s="24"/>
      <c r="E120" s="378"/>
    </row>
    <row r="121" spans="1:5" ht="15" hidden="1">
      <c r="A121" s="25" t="s">
        <v>37</v>
      </c>
      <c r="B121" s="24" t="s">
        <v>30</v>
      </c>
      <c r="C121" s="43" t="s">
        <v>33</v>
      </c>
      <c r="D121" s="24"/>
      <c r="E121" s="386" t="e">
        <f>#REF!</f>
        <v>#REF!</v>
      </c>
    </row>
    <row r="122" spans="1:5" ht="15" hidden="1">
      <c r="A122" s="37" t="s">
        <v>34</v>
      </c>
      <c r="B122" s="45" t="s">
        <v>103</v>
      </c>
      <c r="C122" s="46"/>
      <c r="D122" s="46"/>
      <c r="E122" s="387"/>
    </row>
    <row r="123" spans="1:5" ht="15" hidden="1">
      <c r="A123" s="29" t="s">
        <v>38</v>
      </c>
      <c r="B123" s="44" t="s">
        <v>26</v>
      </c>
      <c r="C123" s="40" t="s">
        <v>33</v>
      </c>
      <c r="D123" s="24"/>
      <c r="E123" s="378"/>
    </row>
    <row r="124" spans="1:5" ht="15" hidden="1">
      <c r="A124" s="29" t="s">
        <v>39</v>
      </c>
      <c r="B124" s="24" t="s">
        <v>28</v>
      </c>
      <c r="C124" s="4" t="s">
        <v>33</v>
      </c>
      <c r="D124" s="24"/>
      <c r="E124" s="378"/>
    </row>
    <row r="125" spans="1:5" ht="15" hidden="1">
      <c r="A125" s="21" t="s">
        <v>40</v>
      </c>
      <c r="B125" s="38" t="s">
        <v>30</v>
      </c>
      <c r="C125" s="43" t="s">
        <v>33</v>
      </c>
      <c r="D125" s="24"/>
      <c r="E125" s="378">
        <v>774.63</v>
      </c>
    </row>
    <row r="126" spans="1:5" ht="15" hidden="1">
      <c r="A126" s="50" t="s">
        <v>42</v>
      </c>
      <c r="B126" s="51" t="s">
        <v>43</v>
      </c>
      <c r="C126" s="52"/>
      <c r="D126" s="52"/>
      <c r="E126" s="388"/>
    </row>
    <row r="127" spans="1:5" ht="15" hidden="1">
      <c r="A127" s="24" t="s">
        <v>44</v>
      </c>
      <c r="B127" s="24" t="s">
        <v>104</v>
      </c>
      <c r="C127" s="24"/>
      <c r="D127" s="24"/>
      <c r="E127" s="377" t="s">
        <v>106</v>
      </c>
    </row>
    <row r="128" spans="1:5" ht="15" hidden="1">
      <c r="A128" s="24" t="s">
        <v>45</v>
      </c>
      <c r="B128" s="24" t="s">
        <v>105</v>
      </c>
      <c r="C128" s="11" t="s">
        <v>59</v>
      </c>
      <c r="D128" s="24"/>
      <c r="E128" s="378">
        <v>0</v>
      </c>
    </row>
    <row r="129" spans="1:5" ht="17.25" hidden="1">
      <c r="A129" s="91" t="s">
        <v>46</v>
      </c>
      <c r="B129" s="91" t="s">
        <v>127</v>
      </c>
      <c r="C129" s="94" t="s">
        <v>59</v>
      </c>
      <c r="D129" s="95" t="s">
        <v>136</v>
      </c>
      <c r="E129" s="389"/>
    </row>
    <row r="130" spans="1:5" ht="18.75" hidden="1">
      <c r="A130" s="24" t="s">
        <v>48</v>
      </c>
      <c r="B130" s="24" t="s">
        <v>49</v>
      </c>
      <c r="C130" s="53" t="s">
        <v>59</v>
      </c>
      <c r="D130" s="77" t="s">
        <v>128</v>
      </c>
      <c r="E130" s="386">
        <f>E111</f>
        <v>4.57</v>
      </c>
    </row>
    <row r="131" spans="1:5" ht="33" hidden="1">
      <c r="A131" s="35" t="s">
        <v>50</v>
      </c>
      <c r="B131" s="35" t="s">
        <v>51</v>
      </c>
      <c r="C131" s="27" t="s">
        <v>59</v>
      </c>
      <c r="D131" s="54" t="s">
        <v>20</v>
      </c>
      <c r="E131" s="390" t="e">
        <f>E112</f>
        <v>#REF!</v>
      </c>
    </row>
    <row r="132" spans="1:5" ht="15" hidden="1">
      <c r="A132" s="24" t="s">
        <v>52</v>
      </c>
      <c r="B132" s="55" t="s">
        <v>53</v>
      </c>
      <c r="C132" s="33"/>
      <c r="D132" s="33"/>
      <c r="E132" s="383"/>
    </row>
    <row r="133" spans="1:5" ht="15" hidden="1">
      <c r="A133" s="24" t="s">
        <v>54</v>
      </c>
      <c r="B133" s="24" t="s">
        <v>55</v>
      </c>
      <c r="C133" s="11" t="s">
        <v>56</v>
      </c>
      <c r="D133" s="24"/>
      <c r="E133" s="378">
        <v>33.57</v>
      </c>
    </row>
    <row r="134" spans="1:5" ht="15" hidden="1">
      <c r="A134" s="24" t="s">
        <v>57</v>
      </c>
      <c r="B134" s="24" t="s">
        <v>58</v>
      </c>
      <c r="C134" s="11" t="s">
        <v>59</v>
      </c>
      <c r="D134" s="56" t="s">
        <v>47</v>
      </c>
      <c r="E134" s="378"/>
    </row>
    <row r="135" spans="1:5" ht="15" hidden="1">
      <c r="A135" s="34" t="s">
        <v>60</v>
      </c>
      <c r="B135" s="559" t="s">
        <v>61</v>
      </c>
      <c r="C135" s="560"/>
      <c r="D135" s="560"/>
      <c r="E135" s="561"/>
    </row>
    <row r="136" spans="1:5" ht="17.25" hidden="1">
      <c r="A136" s="12" t="s">
        <v>62</v>
      </c>
      <c r="B136" s="16" t="s">
        <v>137</v>
      </c>
      <c r="C136" s="9" t="s">
        <v>59</v>
      </c>
      <c r="D136" s="95" t="s">
        <v>135</v>
      </c>
      <c r="E136" s="380" t="e">
        <f>E137+E138</f>
        <v>#REF!</v>
      </c>
    </row>
    <row r="137" spans="1:5" ht="18.75" hidden="1">
      <c r="A137" s="13" t="s">
        <v>63</v>
      </c>
      <c r="B137" s="14" t="s">
        <v>64</v>
      </c>
      <c r="C137" s="11" t="s">
        <v>59</v>
      </c>
      <c r="D137" s="77" t="s">
        <v>129</v>
      </c>
      <c r="E137" s="378">
        <v>2.39</v>
      </c>
    </row>
    <row r="138" spans="1:5" ht="18.75" hidden="1">
      <c r="A138" s="13" t="s">
        <v>65</v>
      </c>
      <c r="B138" s="15" t="s">
        <v>66</v>
      </c>
      <c r="C138" s="20"/>
      <c r="D138" s="89" t="s">
        <v>130</v>
      </c>
      <c r="E138" s="386" t="e">
        <f>0.39+(7.24*E110/37.6)</f>
        <v>#REF!</v>
      </c>
    </row>
    <row r="139" spans="1:5" ht="15" hidden="1">
      <c r="A139" s="12" t="s">
        <v>67</v>
      </c>
      <c r="B139" s="16" t="s">
        <v>68</v>
      </c>
      <c r="C139" s="9"/>
      <c r="D139" s="24"/>
      <c r="E139" s="378"/>
    </row>
    <row r="140" spans="1:5" ht="15" hidden="1">
      <c r="A140" s="12" t="s">
        <v>69</v>
      </c>
      <c r="B140" s="17" t="s">
        <v>55</v>
      </c>
      <c r="C140" s="10" t="s">
        <v>56</v>
      </c>
      <c r="D140" s="24"/>
      <c r="E140" s="378"/>
    </row>
    <row r="141" spans="1:5" ht="18.75" hidden="1">
      <c r="A141" s="12" t="s">
        <v>70</v>
      </c>
      <c r="B141" s="17" t="s">
        <v>71</v>
      </c>
      <c r="C141" s="11" t="s">
        <v>59</v>
      </c>
      <c r="D141" s="77" t="s">
        <v>131</v>
      </c>
      <c r="E141" s="378"/>
    </row>
    <row r="142" spans="1:5" ht="15" hidden="1">
      <c r="A142" s="81" t="s">
        <v>72</v>
      </c>
      <c r="B142" s="562" t="s">
        <v>73</v>
      </c>
      <c r="C142" s="563"/>
      <c r="D142" s="563"/>
      <c r="E142" s="564"/>
    </row>
    <row r="143" spans="1:5" ht="15" hidden="1">
      <c r="A143" s="548" t="s">
        <v>79</v>
      </c>
      <c r="B143" s="18" t="s">
        <v>74</v>
      </c>
      <c r="C143" s="11" t="s">
        <v>59</v>
      </c>
      <c r="D143" s="79" t="s">
        <v>106</v>
      </c>
      <c r="E143" s="315">
        <v>0.31</v>
      </c>
    </row>
    <row r="144" spans="1:5" ht="15" hidden="1">
      <c r="A144" s="565"/>
      <c r="B144" s="19" t="s">
        <v>75</v>
      </c>
      <c r="C144" s="53" t="s">
        <v>76</v>
      </c>
      <c r="D144" s="79" t="s">
        <v>106</v>
      </c>
      <c r="E144" s="315">
        <v>2.32</v>
      </c>
    </row>
    <row r="145" spans="1:5" ht="15.75" hidden="1" thickBot="1">
      <c r="A145" s="565"/>
      <c r="B145" s="19" t="s">
        <v>77</v>
      </c>
      <c r="C145" s="78" t="s">
        <v>78</v>
      </c>
      <c r="D145" s="79" t="s">
        <v>106</v>
      </c>
      <c r="E145" s="315">
        <v>46.02</v>
      </c>
    </row>
    <row r="146" spans="1:5" ht="15" hidden="1">
      <c r="A146" s="81" t="s">
        <v>80</v>
      </c>
      <c r="B146" s="82" t="s">
        <v>81</v>
      </c>
      <c r="C146" s="11" t="s">
        <v>59</v>
      </c>
      <c r="D146" s="62"/>
      <c r="E146" s="315">
        <v>0.12</v>
      </c>
    </row>
    <row r="147" spans="1:5" ht="15" hidden="1">
      <c r="A147" s="81" t="s">
        <v>82</v>
      </c>
      <c r="B147" s="82" t="s">
        <v>83</v>
      </c>
      <c r="C147" s="11" t="s">
        <v>59</v>
      </c>
      <c r="D147" s="62"/>
      <c r="E147" s="315">
        <v>-0.27</v>
      </c>
    </row>
    <row r="148" spans="1:5" ht="15" hidden="1">
      <c r="A148" s="81" t="s">
        <v>84</v>
      </c>
      <c r="B148" s="82" t="s">
        <v>132</v>
      </c>
      <c r="C148" s="11" t="s">
        <v>59</v>
      </c>
      <c r="D148" s="62"/>
      <c r="E148" s="392" t="e">
        <f>E110+E136+E143+E146+E147</f>
        <v>#REF!</v>
      </c>
    </row>
    <row r="149" spans="1:5" ht="15" hidden="1">
      <c r="A149" s="81" t="s">
        <v>85</v>
      </c>
      <c r="B149" s="82" t="s">
        <v>86</v>
      </c>
      <c r="C149" s="11" t="s">
        <v>59</v>
      </c>
      <c r="D149" s="62"/>
      <c r="E149" s="315">
        <v>0</v>
      </c>
    </row>
    <row r="150" spans="1:5" ht="15" hidden="1">
      <c r="A150" s="81" t="s">
        <v>87</v>
      </c>
      <c r="B150" s="82" t="s">
        <v>88</v>
      </c>
      <c r="C150" s="9" t="s">
        <v>59</v>
      </c>
      <c r="D150" s="84"/>
      <c r="E150" s="392" t="e">
        <f>E148</f>
        <v>#REF!</v>
      </c>
    </row>
    <row r="151" spans="1:5" ht="15" hidden="1">
      <c r="A151" s="81" t="s">
        <v>89</v>
      </c>
      <c r="B151" s="82" t="s">
        <v>90</v>
      </c>
      <c r="C151" s="9" t="s">
        <v>59</v>
      </c>
      <c r="D151" s="84"/>
      <c r="E151" s="392" t="e">
        <f>E150*1.09</f>
        <v>#REF!</v>
      </c>
    </row>
    <row r="152" spans="1:5" ht="15" hidden="1">
      <c r="A152" s="81" t="s">
        <v>91</v>
      </c>
      <c r="B152" s="82" t="s">
        <v>92</v>
      </c>
      <c r="C152" s="9" t="s">
        <v>59</v>
      </c>
      <c r="D152" s="84"/>
      <c r="E152" s="392" t="e">
        <f>E150</f>
        <v>#REF!</v>
      </c>
    </row>
    <row r="153" spans="1:5" ht="15" hidden="1">
      <c r="A153" s="81" t="s">
        <v>93</v>
      </c>
      <c r="B153" s="82" t="s">
        <v>94</v>
      </c>
      <c r="C153" s="81" t="s">
        <v>95</v>
      </c>
      <c r="D153" s="84"/>
      <c r="E153" s="392" t="e">
        <f>(E152/E59)*100-100</f>
        <v>#REF!</v>
      </c>
    </row>
    <row r="154" spans="1:5" ht="15" hidden="1">
      <c r="A154" s="81" t="s">
        <v>96</v>
      </c>
      <c r="B154" s="83" t="s">
        <v>97</v>
      </c>
      <c r="C154" s="85" t="s">
        <v>98</v>
      </c>
      <c r="D154" s="86"/>
      <c r="E154" s="393">
        <f>1005/1000</f>
        <v>1.005</v>
      </c>
    </row>
    <row r="155" spans="1:5" ht="15" hidden="1">
      <c r="A155" s="81" t="s">
        <v>99</v>
      </c>
      <c r="B155" s="83" t="s">
        <v>100</v>
      </c>
      <c r="C155" s="80" t="s">
        <v>98</v>
      </c>
      <c r="D155" s="62"/>
      <c r="E155" s="393">
        <f>692.2341/1000</f>
        <v>0.6922341</v>
      </c>
    </row>
    <row r="156" spans="1:5" ht="15.75" hidden="1" thickBot="1">
      <c r="A156" s="22" t="s">
        <v>101</v>
      </c>
      <c r="B156" s="23" t="s">
        <v>102</v>
      </c>
      <c r="C156" s="80" t="s">
        <v>98</v>
      </c>
      <c r="D156" s="62"/>
      <c r="E156" s="315">
        <v>0</v>
      </c>
    </row>
    <row r="157" ht="15" hidden="1"/>
    <row r="158" ht="15" hidden="1"/>
    <row r="159" ht="15" hidden="1"/>
    <row r="160" ht="15" hidden="1"/>
    <row r="161" spans="2:4" ht="15" hidden="1">
      <c r="B161" t="s">
        <v>144</v>
      </c>
      <c r="C161" t="s">
        <v>148</v>
      </c>
      <c r="D161" s="101" t="s">
        <v>145</v>
      </c>
    </row>
    <row r="162" ht="15" hidden="1">
      <c r="C162" s="108" t="s">
        <v>149</v>
      </c>
    </row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spans="1:5" ht="15" hidden="1">
      <c r="A183" s="87" t="s">
        <v>0</v>
      </c>
      <c r="B183" s="87"/>
      <c r="C183" s="87"/>
      <c r="D183" s="87"/>
      <c r="E183" s="334" t="s">
        <v>107</v>
      </c>
    </row>
    <row r="184" spans="1:5" ht="15" hidden="1">
      <c r="A184" s="87" t="s">
        <v>1</v>
      </c>
      <c r="B184" s="87"/>
      <c r="C184" s="87"/>
      <c r="D184" s="87" t="s">
        <v>133</v>
      </c>
      <c r="E184" s="373"/>
    </row>
    <row r="185" spans="1:5" ht="15" hidden="1">
      <c r="A185" s="87" t="s">
        <v>2</v>
      </c>
      <c r="B185" s="87"/>
      <c r="C185" s="87"/>
      <c r="D185" s="87" t="s">
        <v>122</v>
      </c>
      <c r="E185" s="374"/>
    </row>
    <row r="186" spans="1:5" ht="15" hidden="1">
      <c r="A186" s="87" t="s">
        <v>3</v>
      </c>
      <c r="B186" s="87"/>
      <c r="C186" s="87"/>
      <c r="D186" s="87" t="s">
        <v>123</v>
      </c>
      <c r="E186" s="373"/>
    </row>
    <row r="187" spans="1:5" ht="15" hidden="1">
      <c r="A187" s="87" t="s">
        <v>4</v>
      </c>
      <c r="B187" s="87"/>
      <c r="C187" s="87"/>
      <c r="D187" s="87" t="s">
        <v>124</v>
      </c>
      <c r="E187" s="373"/>
    </row>
    <row r="188" spans="1:5" ht="15" hidden="1">
      <c r="A188" s="107" t="s">
        <v>147</v>
      </c>
      <c r="B188" s="87"/>
      <c r="C188" s="87"/>
      <c r="D188" s="87"/>
      <c r="E188" s="373"/>
    </row>
    <row r="189" spans="1:5" ht="15" hidden="1">
      <c r="A189" s="87" t="s">
        <v>5</v>
      </c>
      <c r="B189" s="87"/>
      <c r="C189" s="87"/>
      <c r="D189" s="87" t="s">
        <v>125</v>
      </c>
      <c r="E189" s="373"/>
    </row>
    <row r="190" spans="1:5" ht="15" hidden="1">
      <c r="A190" s="1"/>
      <c r="B190" s="1"/>
      <c r="C190" s="1"/>
      <c r="D190" s="1"/>
      <c r="E190" s="316"/>
    </row>
    <row r="191" spans="1:4" ht="15.75" hidden="1">
      <c r="A191" s="96"/>
      <c r="B191" s="96" t="s">
        <v>154</v>
      </c>
      <c r="C191" s="2"/>
      <c r="D191" s="2"/>
    </row>
    <row r="192" spans="1:4" ht="15.75" hidden="1">
      <c r="A192" s="96"/>
      <c r="B192" s="96"/>
      <c r="C192" s="105">
        <v>41540</v>
      </c>
      <c r="D192" s="2"/>
    </row>
    <row r="193" spans="1:4" ht="15.75" hidden="1">
      <c r="A193" s="96"/>
      <c r="B193" s="96"/>
      <c r="C193" s="106" t="s">
        <v>146</v>
      </c>
      <c r="D193" s="2"/>
    </row>
    <row r="194" spans="1:5" ht="15" hidden="1">
      <c r="A194" s="2" t="s">
        <v>6</v>
      </c>
      <c r="B194" s="2"/>
      <c r="C194" s="2"/>
      <c r="D194" s="2"/>
      <c r="E194" s="376"/>
    </row>
    <row r="195" spans="1:5" ht="15" hidden="1">
      <c r="A195" s="1" t="s">
        <v>150</v>
      </c>
      <c r="B195" s="1"/>
      <c r="C195" s="1"/>
      <c r="D195" s="1"/>
      <c r="E195" s="316"/>
    </row>
    <row r="196" spans="1:5" ht="15" hidden="1">
      <c r="A196" s="1" t="s">
        <v>7</v>
      </c>
      <c r="B196" s="1"/>
      <c r="C196" s="1"/>
      <c r="D196" s="1"/>
      <c r="E196" s="316"/>
    </row>
    <row r="197" spans="1:5" ht="15" hidden="1">
      <c r="A197" s="1" t="s">
        <v>157</v>
      </c>
      <c r="B197" s="1"/>
      <c r="C197" s="1"/>
      <c r="D197" s="1"/>
      <c r="E197" s="316"/>
    </row>
    <row r="198" spans="1:5" ht="15" hidden="1">
      <c r="A198" s="25" t="s">
        <v>8</v>
      </c>
      <c r="B198" s="25" t="s">
        <v>9</v>
      </c>
      <c r="C198" s="25" t="s">
        <v>10</v>
      </c>
      <c r="D198" s="25" t="s">
        <v>11</v>
      </c>
      <c r="E198" s="377" t="s">
        <v>12</v>
      </c>
    </row>
    <row r="199" spans="1:5" ht="15" hidden="1">
      <c r="A199" s="24">
        <v>1</v>
      </c>
      <c r="B199" s="24">
        <v>2</v>
      </c>
      <c r="C199" s="24">
        <v>3</v>
      </c>
      <c r="D199" s="24">
        <v>4</v>
      </c>
      <c r="E199" s="378">
        <v>5</v>
      </c>
    </row>
    <row r="200" spans="1:5" ht="15" hidden="1">
      <c r="A200" s="34" t="s">
        <v>13</v>
      </c>
      <c r="B200" s="26" t="s">
        <v>14</v>
      </c>
      <c r="C200" s="26"/>
      <c r="D200" s="26"/>
      <c r="E200" s="379"/>
    </row>
    <row r="201" spans="1:5" ht="17.25" hidden="1">
      <c r="A201" s="34" t="s">
        <v>15</v>
      </c>
      <c r="B201" s="88" t="s">
        <v>138</v>
      </c>
      <c r="C201" s="9" t="s">
        <v>59</v>
      </c>
      <c r="D201" s="90" t="s">
        <v>134</v>
      </c>
      <c r="E201" s="380" t="e">
        <f>E202+E203</f>
        <v>#REF!</v>
      </c>
    </row>
    <row r="202" spans="1:5" ht="18.75" hidden="1">
      <c r="A202" s="25" t="s">
        <v>16</v>
      </c>
      <c r="B202" s="24" t="s">
        <v>18</v>
      </c>
      <c r="C202" s="11" t="s">
        <v>59</v>
      </c>
      <c r="D202" s="77" t="s">
        <v>126</v>
      </c>
      <c r="E202" s="381">
        <v>4.57</v>
      </c>
    </row>
    <row r="203" spans="1:5" ht="33" hidden="1">
      <c r="A203" s="35" t="s">
        <v>17</v>
      </c>
      <c r="B203" s="104" t="s">
        <v>19</v>
      </c>
      <c r="C203" s="27" t="s">
        <v>59</v>
      </c>
      <c r="D203" s="28" t="s">
        <v>20</v>
      </c>
      <c r="E203" s="382" t="e">
        <f>0.28+((4325*E208+((226+106.1)*E212)+509*E216)/(44.84*1000))/10</f>
        <v>#REF!</v>
      </c>
    </row>
    <row r="204" spans="1:5" ht="15" hidden="1">
      <c r="A204" s="25" t="s">
        <v>21</v>
      </c>
      <c r="B204" s="30" t="s">
        <v>22</v>
      </c>
      <c r="C204" s="31"/>
      <c r="D204" s="33"/>
      <c r="E204" s="383"/>
    </row>
    <row r="205" spans="1:5" ht="15" hidden="1">
      <c r="A205" s="47" t="s">
        <v>23</v>
      </c>
      <c r="B205" s="48" t="s">
        <v>24</v>
      </c>
      <c r="C205" s="49"/>
      <c r="D205" s="49"/>
      <c r="E205" s="384"/>
    </row>
    <row r="206" spans="1:5" ht="15" hidden="1">
      <c r="A206" s="25" t="s">
        <v>25</v>
      </c>
      <c r="B206" s="24" t="s">
        <v>26</v>
      </c>
      <c r="C206" s="32" t="s">
        <v>41</v>
      </c>
      <c r="D206" s="24"/>
      <c r="E206" s="378"/>
    </row>
    <row r="207" spans="1:5" ht="15" hidden="1">
      <c r="A207" s="25" t="s">
        <v>27</v>
      </c>
      <c r="B207" s="24" t="s">
        <v>28</v>
      </c>
      <c r="C207" s="5" t="s">
        <v>41</v>
      </c>
      <c r="D207" s="24"/>
      <c r="E207" s="378"/>
    </row>
    <row r="208" spans="1:5" ht="15" hidden="1">
      <c r="A208" s="25" t="s">
        <v>29</v>
      </c>
      <c r="B208" s="38" t="s">
        <v>30</v>
      </c>
      <c r="C208" s="39" t="s">
        <v>41</v>
      </c>
      <c r="D208" s="24"/>
      <c r="E208" s="386" t="e">
        <f>#REF!+37.53+275.02</f>
        <v>#REF!</v>
      </c>
    </row>
    <row r="209" spans="1:5" ht="15" hidden="1">
      <c r="A209" s="36" t="s">
        <v>31</v>
      </c>
      <c r="B209" s="41" t="s">
        <v>32</v>
      </c>
      <c r="C209" s="42"/>
      <c r="D209" s="42"/>
      <c r="E209" s="385"/>
    </row>
    <row r="210" spans="1:5" ht="15" hidden="1">
      <c r="A210" s="25" t="s">
        <v>35</v>
      </c>
      <c r="B210" s="24" t="s">
        <v>26</v>
      </c>
      <c r="C210" s="40" t="s">
        <v>33</v>
      </c>
      <c r="D210" s="24"/>
      <c r="E210" s="378"/>
    </row>
    <row r="211" spans="1:5" ht="15" hidden="1">
      <c r="A211" s="25" t="s">
        <v>36</v>
      </c>
      <c r="B211" s="24" t="s">
        <v>28</v>
      </c>
      <c r="C211" s="4" t="s">
        <v>33</v>
      </c>
      <c r="D211" s="24"/>
      <c r="E211" s="378"/>
    </row>
    <row r="212" spans="1:5" ht="15" hidden="1">
      <c r="A212" s="25" t="s">
        <v>37</v>
      </c>
      <c r="B212" s="24" t="s">
        <v>30</v>
      </c>
      <c r="C212" s="43" t="s">
        <v>33</v>
      </c>
      <c r="D212" s="24"/>
      <c r="E212" s="386" t="e">
        <f>#REF!</f>
        <v>#REF!</v>
      </c>
    </row>
    <row r="213" spans="1:5" ht="15" hidden="1">
      <c r="A213" s="37" t="s">
        <v>34</v>
      </c>
      <c r="B213" s="45" t="s">
        <v>103</v>
      </c>
      <c r="C213" s="46"/>
      <c r="D213" s="46"/>
      <c r="E213" s="387"/>
    </row>
    <row r="214" spans="1:5" ht="15" hidden="1">
      <c r="A214" s="29" t="s">
        <v>38</v>
      </c>
      <c r="B214" s="44" t="s">
        <v>26</v>
      </c>
      <c r="C214" s="40" t="s">
        <v>33</v>
      </c>
      <c r="D214" s="24"/>
      <c r="E214" s="378"/>
    </row>
    <row r="215" spans="1:5" ht="15" hidden="1">
      <c r="A215" s="29" t="s">
        <v>39</v>
      </c>
      <c r="B215" s="24" t="s">
        <v>28</v>
      </c>
      <c r="C215" s="4" t="s">
        <v>33</v>
      </c>
      <c r="D215" s="24"/>
      <c r="E215" s="378"/>
    </row>
    <row r="216" spans="1:5" ht="15" hidden="1">
      <c r="A216" s="21" t="s">
        <v>40</v>
      </c>
      <c r="B216" s="38" t="s">
        <v>30</v>
      </c>
      <c r="C216" s="43" t="s">
        <v>33</v>
      </c>
      <c r="D216" s="24"/>
      <c r="E216" s="378">
        <v>774.63</v>
      </c>
    </row>
    <row r="217" spans="1:5" ht="15" hidden="1">
      <c r="A217" s="50" t="s">
        <v>42</v>
      </c>
      <c r="B217" s="51" t="s">
        <v>43</v>
      </c>
      <c r="C217" s="52"/>
      <c r="D217" s="52"/>
      <c r="E217" s="388"/>
    </row>
    <row r="218" spans="1:5" ht="15" hidden="1">
      <c r="A218" s="24" t="s">
        <v>44</v>
      </c>
      <c r="B218" s="24" t="s">
        <v>104</v>
      </c>
      <c r="C218" s="24"/>
      <c r="D218" s="24"/>
      <c r="E218" s="377" t="s">
        <v>106</v>
      </c>
    </row>
    <row r="219" spans="1:5" ht="15" hidden="1">
      <c r="A219" s="24" t="s">
        <v>45</v>
      </c>
      <c r="B219" s="24" t="s">
        <v>105</v>
      </c>
      <c r="C219" s="11" t="s">
        <v>59</v>
      </c>
      <c r="D219" s="24"/>
      <c r="E219" s="378">
        <v>0</v>
      </c>
    </row>
    <row r="220" spans="1:5" ht="17.25" hidden="1">
      <c r="A220" s="91" t="s">
        <v>46</v>
      </c>
      <c r="B220" s="91" t="s">
        <v>127</v>
      </c>
      <c r="C220" s="94" t="s">
        <v>59</v>
      </c>
      <c r="D220" s="95" t="s">
        <v>136</v>
      </c>
      <c r="E220" s="389"/>
    </row>
    <row r="221" spans="1:5" ht="18.75" hidden="1">
      <c r="A221" s="24" t="s">
        <v>48</v>
      </c>
      <c r="B221" s="24" t="s">
        <v>49</v>
      </c>
      <c r="C221" s="53" t="s">
        <v>59</v>
      </c>
      <c r="D221" s="77" t="s">
        <v>128</v>
      </c>
      <c r="E221" s="386">
        <f>E202</f>
        <v>4.57</v>
      </c>
    </row>
    <row r="222" spans="1:5" ht="33" hidden="1">
      <c r="A222" s="35" t="s">
        <v>50</v>
      </c>
      <c r="B222" s="35" t="s">
        <v>51</v>
      </c>
      <c r="C222" s="27" t="s">
        <v>59</v>
      </c>
      <c r="D222" s="54" t="s">
        <v>20</v>
      </c>
      <c r="E222" s="390" t="e">
        <f>E203</f>
        <v>#REF!</v>
      </c>
    </row>
    <row r="223" spans="1:5" ht="15" hidden="1">
      <c r="A223" s="24" t="s">
        <v>52</v>
      </c>
      <c r="B223" s="55" t="s">
        <v>53</v>
      </c>
      <c r="C223" s="33"/>
      <c r="D223" s="33"/>
      <c r="E223" s="383"/>
    </row>
    <row r="224" spans="1:5" ht="15" hidden="1">
      <c r="A224" s="24" t="s">
        <v>54</v>
      </c>
      <c r="B224" s="24" t="s">
        <v>55</v>
      </c>
      <c r="C224" s="11" t="s">
        <v>56</v>
      </c>
      <c r="D224" s="24"/>
      <c r="E224" s="378">
        <v>33.57</v>
      </c>
    </row>
    <row r="225" spans="1:5" ht="15" hidden="1">
      <c r="A225" s="24" t="s">
        <v>57</v>
      </c>
      <c r="B225" s="24" t="s">
        <v>58</v>
      </c>
      <c r="C225" s="11" t="s">
        <v>59</v>
      </c>
      <c r="D225" s="56" t="s">
        <v>47</v>
      </c>
      <c r="E225" s="378"/>
    </row>
    <row r="226" spans="1:5" ht="15" hidden="1">
      <c r="A226" s="34" t="s">
        <v>60</v>
      </c>
      <c r="B226" s="559" t="s">
        <v>61</v>
      </c>
      <c r="C226" s="560"/>
      <c r="D226" s="560"/>
      <c r="E226" s="561"/>
    </row>
    <row r="227" spans="1:5" ht="17.25" hidden="1">
      <c r="A227" s="12" t="s">
        <v>62</v>
      </c>
      <c r="B227" s="16" t="s">
        <v>137</v>
      </c>
      <c r="C227" s="9" t="s">
        <v>59</v>
      </c>
      <c r="D227" s="95" t="s">
        <v>135</v>
      </c>
      <c r="E227" s="380" t="e">
        <f>E228+E229</f>
        <v>#REF!</v>
      </c>
    </row>
    <row r="228" spans="1:5" ht="18.75" hidden="1">
      <c r="A228" s="13" t="s">
        <v>63</v>
      </c>
      <c r="B228" s="14" t="s">
        <v>64</v>
      </c>
      <c r="C228" s="11" t="s">
        <v>59</v>
      </c>
      <c r="D228" s="77" t="s">
        <v>129</v>
      </c>
      <c r="E228" s="378">
        <v>2.39</v>
      </c>
    </row>
    <row r="229" spans="1:5" ht="18.75" hidden="1">
      <c r="A229" s="13" t="s">
        <v>65</v>
      </c>
      <c r="B229" s="15" t="s">
        <v>66</v>
      </c>
      <c r="C229" s="20"/>
      <c r="D229" s="89" t="s">
        <v>130</v>
      </c>
      <c r="E229" s="386" t="e">
        <f>0.39+(7.24*E201/37.6)</f>
        <v>#REF!</v>
      </c>
    </row>
    <row r="230" spans="1:5" ht="15" hidden="1">
      <c r="A230" s="12" t="s">
        <v>67</v>
      </c>
      <c r="B230" s="16" t="s">
        <v>68</v>
      </c>
      <c r="C230" s="9"/>
      <c r="D230" s="24"/>
      <c r="E230" s="378"/>
    </row>
    <row r="231" spans="1:5" ht="15" hidden="1">
      <c r="A231" s="12" t="s">
        <v>69</v>
      </c>
      <c r="B231" s="17" t="s">
        <v>55</v>
      </c>
      <c r="C231" s="10" t="s">
        <v>56</v>
      </c>
      <c r="D231" s="24"/>
      <c r="E231" s="378"/>
    </row>
    <row r="232" spans="1:5" ht="18.75" hidden="1">
      <c r="A232" s="12" t="s">
        <v>70</v>
      </c>
      <c r="B232" s="17" t="s">
        <v>71</v>
      </c>
      <c r="C232" s="11" t="s">
        <v>59</v>
      </c>
      <c r="D232" s="77" t="s">
        <v>131</v>
      </c>
      <c r="E232" s="378"/>
    </row>
    <row r="233" spans="1:5" ht="15" hidden="1">
      <c r="A233" s="81" t="s">
        <v>72</v>
      </c>
      <c r="B233" s="562" t="s">
        <v>73</v>
      </c>
      <c r="C233" s="563"/>
      <c r="D233" s="563"/>
      <c r="E233" s="564"/>
    </row>
    <row r="234" spans="1:5" ht="15" hidden="1">
      <c r="A234" s="548" t="s">
        <v>79</v>
      </c>
      <c r="B234" s="18" t="s">
        <v>74</v>
      </c>
      <c r="C234" s="11" t="s">
        <v>59</v>
      </c>
      <c r="D234" s="79" t="s">
        <v>106</v>
      </c>
      <c r="E234" s="315">
        <v>0.31</v>
      </c>
    </row>
    <row r="235" spans="1:5" ht="15" hidden="1">
      <c r="A235" s="565"/>
      <c r="B235" s="19" t="s">
        <v>75</v>
      </c>
      <c r="C235" s="53" t="s">
        <v>76</v>
      </c>
      <c r="D235" s="79" t="s">
        <v>106</v>
      </c>
      <c r="E235" s="315">
        <v>2.32</v>
      </c>
    </row>
    <row r="236" spans="1:5" ht="15.75" hidden="1" thickBot="1">
      <c r="A236" s="565"/>
      <c r="B236" s="19" t="s">
        <v>77</v>
      </c>
      <c r="C236" s="78" t="s">
        <v>78</v>
      </c>
      <c r="D236" s="79" t="s">
        <v>106</v>
      </c>
      <c r="E236" s="315">
        <v>46.02</v>
      </c>
    </row>
    <row r="237" spans="1:5" ht="15" hidden="1">
      <c r="A237" s="81" t="s">
        <v>80</v>
      </c>
      <c r="B237" s="82" t="s">
        <v>81</v>
      </c>
      <c r="C237" s="11" t="s">
        <v>59</v>
      </c>
      <c r="D237" s="62"/>
      <c r="E237" s="315">
        <v>0.12</v>
      </c>
    </row>
    <row r="238" spans="1:5" ht="15" hidden="1">
      <c r="A238" s="81" t="s">
        <v>82</v>
      </c>
      <c r="B238" s="82" t="s">
        <v>83</v>
      </c>
      <c r="C238" s="11" t="s">
        <v>59</v>
      </c>
      <c r="D238" s="62"/>
      <c r="E238" s="315">
        <v>-0.27</v>
      </c>
    </row>
    <row r="239" spans="1:5" ht="15" hidden="1">
      <c r="A239" s="81" t="s">
        <v>84</v>
      </c>
      <c r="B239" s="82" t="s">
        <v>132</v>
      </c>
      <c r="C239" s="11" t="s">
        <v>59</v>
      </c>
      <c r="D239" s="62"/>
      <c r="E239" s="392" t="e">
        <f>E201+E227+E234+E237+E238</f>
        <v>#REF!</v>
      </c>
    </row>
    <row r="240" spans="1:5" ht="15" hidden="1">
      <c r="A240" s="81" t="s">
        <v>85</v>
      </c>
      <c r="B240" s="82" t="s">
        <v>86</v>
      </c>
      <c r="C240" s="11" t="s">
        <v>59</v>
      </c>
      <c r="D240" s="62"/>
      <c r="E240" s="315">
        <v>0</v>
      </c>
    </row>
    <row r="241" spans="1:5" ht="15" hidden="1">
      <c r="A241" s="81" t="s">
        <v>87</v>
      </c>
      <c r="B241" s="82" t="s">
        <v>88</v>
      </c>
      <c r="C241" s="9" t="s">
        <v>59</v>
      </c>
      <c r="D241" s="84"/>
      <c r="E241" s="392" t="e">
        <f>E239</f>
        <v>#REF!</v>
      </c>
    </row>
    <row r="242" spans="1:5" ht="15" hidden="1">
      <c r="A242" s="81" t="s">
        <v>89</v>
      </c>
      <c r="B242" s="82" t="s">
        <v>90</v>
      </c>
      <c r="C242" s="9" t="s">
        <v>59</v>
      </c>
      <c r="D242" s="84"/>
      <c r="E242" s="392" t="e">
        <f>E241*1.09</f>
        <v>#REF!</v>
      </c>
    </row>
    <row r="243" spans="1:5" ht="15" hidden="1">
      <c r="A243" s="81" t="s">
        <v>91</v>
      </c>
      <c r="B243" s="82" t="s">
        <v>92</v>
      </c>
      <c r="C243" s="9" t="s">
        <v>59</v>
      </c>
      <c r="D243" s="84"/>
      <c r="E243" s="392" t="e">
        <f>E152</f>
        <v>#REF!</v>
      </c>
    </row>
    <row r="244" spans="1:5" ht="15" hidden="1">
      <c r="A244" s="81" t="s">
        <v>93</v>
      </c>
      <c r="B244" s="82" t="s">
        <v>94</v>
      </c>
      <c r="C244" s="81" t="s">
        <v>95</v>
      </c>
      <c r="D244" s="84"/>
      <c r="E244" s="392">
        <f>(28.2/28.34)*100-100</f>
        <v>-0.4940014114326061</v>
      </c>
    </row>
    <row r="245" spans="1:5" ht="15" hidden="1">
      <c r="A245" s="81" t="s">
        <v>96</v>
      </c>
      <c r="B245" s="83" t="s">
        <v>97</v>
      </c>
      <c r="C245" s="85" t="s">
        <v>98</v>
      </c>
      <c r="D245" s="86"/>
      <c r="E245" s="393">
        <f>1004/1000</f>
        <v>1.004</v>
      </c>
    </row>
    <row r="246" spans="1:5" ht="15" hidden="1">
      <c r="A246" s="81" t="s">
        <v>99</v>
      </c>
      <c r="B246" s="83" t="s">
        <v>100</v>
      </c>
      <c r="C246" s="80" t="s">
        <v>98</v>
      </c>
      <c r="D246" s="62"/>
      <c r="E246" s="393">
        <f>635.29/1000</f>
        <v>0.6352899999999999</v>
      </c>
    </row>
    <row r="247" spans="1:5" ht="15.75" hidden="1" thickBot="1">
      <c r="A247" s="22" t="s">
        <v>101</v>
      </c>
      <c r="B247" s="23" t="s">
        <v>102</v>
      </c>
      <c r="C247" s="80" t="s">
        <v>98</v>
      </c>
      <c r="D247" s="62"/>
      <c r="E247" s="315">
        <v>0</v>
      </c>
    </row>
    <row r="248" ht="15" hidden="1"/>
    <row r="249" ht="15" hidden="1"/>
    <row r="250" ht="15" hidden="1"/>
    <row r="251" ht="15" hidden="1"/>
    <row r="252" spans="2:4" ht="15" hidden="1">
      <c r="B252" t="s">
        <v>155</v>
      </c>
      <c r="C252" t="s">
        <v>148</v>
      </c>
      <c r="D252" s="115" t="s">
        <v>156</v>
      </c>
    </row>
    <row r="253" ht="15" hidden="1">
      <c r="C253" s="108" t="s">
        <v>149</v>
      </c>
    </row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spans="1:5" ht="15" hidden="1">
      <c r="A274" s="87" t="s">
        <v>0</v>
      </c>
      <c r="B274" s="87"/>
      <c r="C274" s="87"/>
      <c r="D274" s="87"/>
      <c r="E274" s="334" t="s">
        <v>107</v>
      </c>
    </row>
    <row r="275" spans="1:5" ht="15" hidden="1">
      <c r="A275" s="87" t="s">
        <v>1</v>
      </c>
      <c r="B275" s="87"/>
      <c r="C275" s="87"/>
      <c r="D275" s="87" t="s">
        <v>133</v>
      </c>
      <c r="E275" s="373"/>
    </row>
    <row r="276" spans="1:5" ht="15" hidden="1">
      <c r="A276" s="87" t="s">
        <v>2</v>
      </c>
      <c r="B276" s="87"/>
      <c r="C276" s="87"/>
      <c r="D276" s="87" t="s">
        <v>122</v>
      </c>
      <c r="E276" s="374"/>
    </row>
    <row r="277" spans="1:5" ht="15" hidden="1">
      <c r="A277" s="87" t="s">
        <v>3</v>
      </c>
      <c r="B277" s="87"/>
      <c r="C277" s="87"/>
      <c r="D277" s="87" t="s">
        <v>123</v>
      </c>
      <c r="E277" s="373"/>
    </row>
    <row r="278" spans="1:5" ht="15" hidden="1">
      <c r="A278" s="87" t="s">
        <v>4</v>
      </c>
      <c r="B278" s="87"/>
      <c r="C278" s="87"/>
      <c r="D278" s="87" t="s">
        <v>124</v>
      </c>
      <c r="E278" s="373"/>
    </row>
    <row r="279" spans="1:5" ht="15" hidden="1">
      <c r="A279" s="107" t="s">
        <v>147</v>
      </c>
      <c r="B279" s="87"/>
      <c r="C279" s="87"/>
      <c r="D279" s="87"/>
      <c r="E279" s="373"/>
    </row>
    <row r="280" spans="1:5" ht="15" hidden="1">
      <c r="A280" s="87" t="s">
        <v>5</v>
      </c>
      <c r="B280" s="87"/>
      <c r="C280" s="87"/>
      <c r="D280" s="87" t="s">
        <v>125</v>
      </c>
      <c r="E280" s="373"/>
    </row>
    <row r="281" spans="1:5" ht="15" hidden="1">
      <c r="A281" s="1"/>
      <c r="B281" s="1"/>
      <c r="C281" s="1"/>
      <c r="D281" s="1"/>
      <c r="E281" s="316"/>
    </row>
    <row r="282" spans="1:4" ht="15.75" hidden="1">
      <c r="A282" s="96"/>
      <c r="B282" s="96" t="s">
        <v>159</v>
      </c>
      <c r="C282" s="2"/>
      <c r="D282" s="2"/>
    </row>
    <row r="283" spans="1:4" ht="15.75" hidden="1">
      <c r="A283" s="96"/>
      <c r="B283" s="96"/>
      <c r="C283" s="105">
        <v>41568</v>
      </c>
      <c r="D283" s="2"/>
    </row>
    <row r="284" spans="1:4" ht="15.75" hidden="1">
      <c r="A284" s="96"/>
      <c r="B284" s="96"/>
      <c r="C284" s="106" t="s">
        <v>146</v>
      </c>
      <c r="D284" s="2"/>
    </row>
    <row r="285" spans="1:5" ht="15" hidden="1">
      <c r="A285" s="2" t="s">
        <v>6</v>
      </c>
      <c r="B285" s="2"/>
      <c r="C285" s="2"/>
      <c r="D285" s="2"/>
      <c r="E285" s="376"/>
    </row>
    <row r="286" spans="1:5" ht="15" hidden="1">
      <c r="A286" s="1" t="s">
        <v>150</v>
      </c>
      <c r="B286" s="1"/>
      <c r="C286" s="1"/>
      <c r="D286" s="1"/>
      <c r="E286" s="316"/>
    </row>
    <row r="287" spans="1:5" ht="15" hidden="1">
      <c r="A287" s="1" t="s">
        <v>7</v>
      </c>
      <c r="B287" s="1"/>
      <c r="C287" s="1"/>
      <c r="D287" s="1"/>
      <c r="E287" s="316"/>
    </row>
    <row r="288" spans="1:5" ht="15" hidden="1">
      <c r="A288" s="116" t="s">
        <v>157</v>
      </c>
      <c r="B288" s="116"/>
      <c r="C288" s="116"/>
      <c r="D288" s="116"/>
      <c r="E288" s="316"/>
    </row>
    <row r="289" spans="1:5" ht="15" hidden="1">
      <c r="A289" s="25" t="s">
        <v>8</v>
      </c>
      <c r="B289" s="25" t="s">
        <v>9</v>
      </c>
      <c r="C289" s="25" t="s">
        <v>10</v>
      </c>
      <c r="D289" s="25" t="s">
        <v>11</v>
      </c>
      <c r="E289" s="377" t="s">
        <v>12</v>
      </c>
    </row>
    <row r="290" spans="1:5" ht="15" hidden="1">
      <c r="A290" s="24">
        <v>1</v>
      </c>
      <c r="B290" s="24">
        <v>2</v>
      </c>
      <c r="C290" s="24">
        <v>3</v>
      </c>
      <c r="D290" s="24">
        <v>4</v>
      </c>
      <c r="E290" s="378">
        <v>5</v>
      </c>
    </row>
    <row r="291" spans="1:5" ht="15" hidden="1">
      <c r="A291" s="34" t="s">
        <v>13</v>
      </c>
      <c r="B291" s="26" t="s">
        <v>14</v>
      </c>
      <c r="C291" s="26"/>
      <c r="D291" s="26"/>
      <c r="E291" s="379"/>
    </row>
    <row r="292" spans="1:5" ht="17.25" hidden="1">
      <c r="A292" s="34" t="s">
        <v>15</v>
      </c>
      <c r="B292" s="88" t="s">
        <v>138</v>
      </c>
      <c r="C292" s="9" t="s">
        <v>59</v>
      </c>
      <c r="D292" s="90" t="s">
        <v>134</v>
      </c>
      <c r="E292" s="380" t="e">
        <f>E293+E294</f>
        <v>#REF!</v>
      </c>
    </row>
    <row r="293" spans="1:5" ht="18.75" hidden="1">
      <c r="A293" s="25" t="s">
        <v>16</v>
      </c>
      <c r="B293" s="24" t="s">
        <v>18</v>
      </c>
      <c r="C293" s="11" t="s">
        <v>59</v>
      </c>
      <c r="D293" s="77" t="s">
        <v>126</v>
      </c>
      <c r="E293" s="381">
        <v>4.57</v>
      </c>
    </row>
    <row r="294" spans="1:5" ht="33" hidden="1">
      <c r="A294" s="35" t="s">
        <v>17</v>
      </c>
      <c r="B294" s="104" t="s">
        <v>19</v>
      </c>
      <c r="C294" s="27" t="s">
        <v>59</v>
      </c>
      <c r="D294" s="28" t="s">
        <v>20</v>
      </c>
      <c r="E294" s="382" t="e">
        <f>0.28+((4325*E299+((226+106.1)*E303)+509*E307)/(44.84*1000))/10</f>
        <v>#REF!</v>
      </c>
    </row>
    <row r="295" spans="1:5" ht="15" hidden="1">
      <c r="A295" s="25" t="s">
        <v>21</v>
      </c>
      <c r="B295" s="30" t="s">
        <v>22</v>
      </c>
      <c r="C295" s="31"/>
      <c r="D295" s="33"/>
      <c r="E295" s="383"/>
    </row>
    <row r="296" spans="1:5" ht="15" hidden="1">
      <c r="A296" s="47" t="s">
        <v>23</v>
      </c>
      <c r="B296" s="48" t="s">
        <v>24</v>
      </c>
      <c r="C296" s="49"/>
      <c r="D296" s="49"/>
      <c r="E296" s="384"/>
    </row>
    <row r="297" spans="1:5" ht="15" hidden="1">
      <c r="A297" s="25" t="s">
        <v>25</v>
      </c>
      <c r="B297" s="24" t="s">
        <v>26</v>
      </c>
      <c r="C297" s="32" t="s">
        <v>41</v>
      </c>
      <c r="D297" s="24"/>
      <c r="E297" s="386" t="e">
        <f>#REF!</f>
        <v>#REF!</v>
      </c>
    </row>
    <row r="298" spans="1:5" ht="15" hidden="1">
      <c r="A298" s="25" t="s">
        <v>27</v>
      </c>
      <c r="B298" s="24" t="s">
        <v>28</v>
      </c>
      <c r="C298" s="5" t="s">
        <v>41</v>
      </c>
      <c r="D298" s="24"/>
      <c r="E298" s="378">
        <f>275.02+37.53</f>
        <v>312.54999999999995</v>
      </c>
    </row>
    <row r="299" spans="1:5" ht="15" hidden="1">
      <c r="A299" s="25" t="s">
        <v>29</v>
      </c>
      <c r="B299" s="38" t="s">
        <v>30</v>
      </c>
      <c r="C299" s="39" t="s">
        <v>41</v>
      </c>
      <c r="D299" s="24"/>
      <c r="E299" s="386" t="e">
        <f>E297+E298</f>
        <v>#REF!</v>
      </c>
    </row>
    <row r="300" spans="1:5" ht="15" hidden="1">
      <c r="A300" s="36" t="s">
        <v>31</v>
      </c>
      <c r="B300" s="41" t="s">
        <v>32</v>
      </c>
      <c r="C300" s="42"/>
      <c r="D300" s="42"/>
      <c r="E300" s="385"/>
    </row>
    <row r="301" spans="1:5" ht="15" hidden="1">
      <c r="A301" s="25" t="s">
        <v>35</v>
      </c>
      <c r="B301" s="24" t="s">
        <v>26</v>
      </c>
      <c r="C301" s="40" t="s">
        <v>33</v>
      </c>
      <c r="D301" s="24"/>
      <c r="E301" s="378"/>
    </row>
    <row r="302" spans="1:5" ht="15" hidden="1">
      <c r="A302" s="25" t="s">
        <v>36</v>
      </c>
      <c r="B302" s="24" t="s">
        <v>28</v>
      </c>
      <c r="C302" s="4" t="s">
        <v>33</v>
      </c>
      <c r="D302" s="24"/>
      <c r="E302" s="378"/>
    </row>
    <row r="303" spans="1:5" ht="15" hidden="1">
      <c r="A303" s="25" t="s">
        <v>37</v>
      </c>
      <c r="B303" s="24" t="s">
        <v>30</v>
      </c>
      <c r="C303" s="43" t="s">
        <v>33</v>
      </c>
      <c r="D303" s="24"/>
      <c r="E303" s="386">
        <v>517.48</v>
      </c>
    </row>
    <row r="304" spans="1:5" ht="15" hidden="1">
      <c r="A304" s="37" t="s">
        <v>34</v>
      </c>
      <c r="B304" s="45" t="s">
        <v>103</v>
      </c>
      <c r="C304" s="46"/>
      <c r="D304" s="46"/>
      <c r="E304" s="387"/>
    </row>
    <row r="305" spans="1:5" ht="15" hidden="1">
      <c r="A305" s="29" t="s">
        <v>38</v>
      </c>
      <c r="B305" s="44" t="s">
        <v>26</v>
      </c>
      <c r="C305" s="40" t="s">
        <v>33</v>
      </c>
      <c r="D305" s="24"/>
      <c r="E305" s="378"/>
    </row>
    <row r="306" spans="1:5" ht="15" hidden="1">
      <c r="A306" s="29" t="s">
        <v>39</v>
      </c>
      <c r="B306" s="24" t="s">
        <v>28</v>
      </c>
      <c r="C306" s="4" t="s">
        <v>33</v>
      </c>
      <c r="D306" s="24"/>
      <c r="E306" s="378"/>
    </row>
    <row r="307" spans="1:5" ht="15" hidden="1">
      <c r="A307" s="21" t="s">
        <v>40</v>
      </c>
      <c r="B307" s="38" t="s">
        <v>30</v>
      </c>
      <c r="C307" s="43" t="s">
        <v>33</v>
      </c>
      <c r="D307" s="24"/>
      <c r="E307" s="378">
        <v>788.2</v>
      </c>
    </row>
    <row r="308" spans="1:5" ht="15" hidden="1">
      <c r="A308" s="50" t="s">
        <v>42</v>
      </c>
      <c r="B308" s="51" t="s">
        <v>43</v>
      </c>
      <c r="C308" s="52"/>
      <c r="D308" s="52"/>
      <c r="E308" s="388"/>
    </row>
    <row r="309" spans="1:5" ht="15" hidden="1">
      <c r="A309" s="24" t="s">
        <v>44</v>
      </c>
      <c r="B309" s="24" t="s">
        <v>104</v>
      </c>
      <c r="C309" s="24"/>
      <c r="D309" s="24"/>
      <c r="E309" s="377" t="s">
        <v>106</v>
      </c>
    </row>
    <row r="310" spans="1:5" ht="15" hidden="1">
      <c r="A310" s="24" t="s">
        <v>45</v>
      </c>
      <c r="B310" s="24" t="s">
        <v>105</v>
      </c>
      <c r="C310" s="11" t="s">
        <v>59</v>
      </c>
      <c r="D310" s="24"/>
      <c r="E310" s="378">
        <v>0</v>
      </c>
    </row>
    <row r="311" spans="1:5" ht="17.25" hidden="1">
      <c r="A311" s="91" t="s">
        <v>46</v>
      </c>
      <c r="B311" s="91" t="s">
        <v>127</v>
      </c>
      <c r="C311" s="94" t="s">
        <v>59</v>
      </c>
      <c r="D311" s="95" t="s">
        <v>136</v>
      </c>
      <c r="E311" s="389"/>
    </row>
    <row r="312" spans="1:5" ht="18.75" hidden="1">
      <c r="A312" s="24" t="s">
        <v>48</v>
      </c>
      <c r="B312" s="24" t="s">
        <v>49</v>
      </c>
      <c r="C312" s="53" t="s">
        <v>59</v>
      </c>
      <c r="D312" s="77" t="s">
        <v>128</v>
      </c>
      <c r="E312" s="386">
        <f>E293</f>
        <v>4.57</v>
      </c>
    </row>
    <row r="313" spans="1:5" ht="33" hidden="1">
      <c r="A313" s="35" t="s">
        <v>50</v>
      </c>
      <c r="B313" s="35" t="s">
        <v>51</v>
      </c>
      <c r="C313" s="27" t="s">
        <v>59</v>
      </c>
      <c r="D313" s="54" t="s">
        <v>20</v>
      </c>
      <c r="E313" s="390" t="e">
        <f>E294</f>
        <v>#REF!</v>
      </c>
    </row>
    <row r="314" spans="1:5" ht="15" hidden="1">
      <c r="A314" s="24" t="s">
        <v>52</v>
      </c>
      <c r="B314" s="55" t="s">
        <v>53</v>
      </c>
      <c r="C314" s="33"/>
      <c r="D314" s="33"/>
      <c r="E314" s="383"/>
    </row>
    <row r="315" spans="1:5" ht="15" hidden="1">
      <c r="A315" s="24" t="s">
        <v>54</v>
      </c>
      <c r="B315" s="24" t="s">
        <v>55</v>
      </c>
      <c r="C315" s="11" t="s">
        <v>56</v>
      </c>
      <c r="D315" s="24"/>
      <c r="E315" s="378">
        <v>33.57</v>
      </c>
    </row>
    <row r="316" spans="1:5" ht="15" hidden="1">
      <c r="A316" s="24" t="s">
        <v>57</v>
      </c>
      <c r="B316" s="24" t="s">
        <v>58</v>
      </c>
      <c r="C316" s="11" t="s">
        <v>59</v>
      </c>
      <c r="D316" s="56" t="s">
        <v>47</v>
      </c>
      <c r="E316" s="378"/>
    </row>
    <row r="317" spans="1:5" ht="15" hidden="1">
      <c r="A317" s="34" t="s">
        <v>60</v>
      </c>
      <c r="B317" s="559" t="s">
        <v>61</v>
      </c>
      <c r="C317" s="560"/>
      <c r="D317" s="560"/>
      <c r="E317" s="561"/>
    </row>
    <row r="318" spans="1:5" ht="17.25" hidden="1">
      <c r="A318" s="12" t="s">
        <v>62</v>
      </c>
      <c r="B318" s="16" t="s">
        <v>137</v>
      </c>
      <c r="C318" s="9" t="s">
        <v>59</v>
      </c>
      <c r="D318" s="95" t="s">
        <v>135</v>
      </c>
      <c r="E318" s="380" t="e">
        <f>E319+E320</f>
        <v>#REF!</v>
      </c>
    </row>
    <row r="319" spans="1:5" ht="18.75" hidden="1">
      <c r="A319" s="13" t="s">
        <v>63</v>
      </c>
      <c r="B319" s="14" t="s">
        <v>64</v>
      </c>
      <c r="C319" s="11" t="s">
        <v>59</v>
      </c>
      <c r="D319" s="77" t="s">
        <v>129</v>
      </c>
      <c r="E319" s="378">
        <v>2.39</v>
      </c>
    </row>
    <row r="320" spans="1:5" ht="18.75" hidden="1">
      <c r="A320" s="13" t="s">
        <v>65</v>
      </c>
      <c r="B320" s="15" t="s">
        <v>66</v>
      </c>
      <c r="C320" s="20"/>
      <c r="D320" s="89" t="s">
        <v>130</v>
      </c>
      <c r="E320" s="386" t="e">
        <f>0.39+(7.24*E292/37.6)</f>
        <v>#REF!</v>
      </c>
    </row>
    <row r="321" spans="1:5" ht="15" hidden="1">
      <c r="A321" s="12" t="s">
        <v>67</v>
      </c>
      <c r="B321" s="16" t="s">
        <v>68</v>
      </c>
      <c r="C321" s="9"/>
      <c r="D321" s="24"/>
      <c r="E321" s="378"/>
    </row>
    <row r="322" spans="1:5" ht="15" hidden="1">
      <c r="A322" s="12" t="s">
        <v>69</v>
      </c>
      <c r="B322" s="17" t="s">
        <v>55</v>
      </c>
      <c r="C322" s="10" t="s">
        <v>56</v>
      </c>
      <c r="D322" s="24"/>
      <c r="E322" s="378"/>
    </row>
    <row r="323" spans="1:5" ht="18.75" hidden="1">
      <c r="A323" s="12" t="s">
        <v>70</v>
      </c>
      <c r="B323" s="17" t="s">
        <v>71</v>
      </c>
      <c r="C323" s="11" t="s">
        <v>59</v>
      </c>
      <c r="D323" s="77" t="s">
        <v>131</v>
      </c>
      <c r="E323" s="378"/>
    </row>
    <row r="324" spans="1:5" ht="15" hidden="1">
      <c r="A324" s="81" t="s">
        <v>72</v>
      </c>
      <c r="B324" s="562" t="s">
        <v>73</v>
      </c>
      <c r="C324" s="563"/>
      <c r="D324" s="563"/>
      <c r="E324" s="564"/>
    </row>
    <row r="325" spans="1:5" ht="15" hidden="1">
      <c r="A325" s="548" t="s">
        <v>79</v>
      </c>
      <c r="B325" s="18" t="s">
        <v>74</v>
      </c>
      <c r="C325" s="11" t="s">
        <v>59</v>
      </c>
      <c r="D325" s="79" t="s">
        <v>106</v>
      </c>
      <c r="E325" s="315">
        <v>0.31</v>
      </c>
    </row>
    <row r="326" spans="1:5" ht="15" hidden="1">
      <c r="A326" s="565"/>
      <c r="B326" s="19" t="s">
        <v>75</v>
      </c>
      <c r="C326" s="53" t="s">
        <v>76</v>
      </c>
      <c r="D326" s="79" t="s">
        <v>106</v>
      </c>
      <c r="E326" s="315">
        <v>2.32</v>
      </c>
    </row>
    <row r="327" spans="1:5" ht="15.75" hidden="1" thickBot="1">
      <c r="A327" s="565"/>
      <c r="B327" s="19" t="s">
        <v>77</v>
      </c>
      <c r="C327" s="78" t="s">
        <v>78</v>
      </c>
      <c r="D327" s="79" t="s">
        <v>106</v>
      </c>
      <c r="E327" s="315">
        <v>46.02</v>
      </c>
    </row>
    <row r="328" spans="1:5" ht="15" hidden="1">
      <c r="A328" s="81" t="s">
        <v>80</v>
      </c>
      <c r="B328" s="82" t="s">
        <v>81</v>
      </c>
      <c r="C328" s="11" t="s">
        <v>59</v>
      </c>
      <c r="D328" s="62"/>
      <c r="E328" s="315">
        <v>0.12</v>
      </c>
    </row>
    <row r="329" spans="1:5" ht="15" hidden="1">
      <c r="A329" s="81" t="s">
        <v>82</v>
      </c>
      <c r="B329" s="82" t="s">
        <v>83</v>
      </c>
      <c r="C329" s="11" t="s">
        <v>59</v>
      </c>
      <c r="D329" s="62"/>
      <c r="E329" s="315">
        <v>-0.27</v>
      </c>
    </row>
    <row r="330" spans="1:5" ht="15" hidden="1">
      <c r="A330" s="81" t="s">
        <v>84</v>
      </c>
      <c r="B330" s="82" t="s">
        <v>132</v>
      </c>
      <c r="C330" s="11" t="s">
        <v>59</v>
      </c>
      <c r="D330" s="62"/>
      <c r="E330" s="394" t="e">
        <f>E292+E318+E325+E328+E329</f>
        <v>#REF!</v>
      </c>
    </row>
    <row r="331" spans="1:5" ht="15" hidden="1">
      <c r="A331" s="81" t="s">
        <v>85</v>
      </c>
      <c r="B331" s="82" t="s">
        <v>86</v>
      </c>
      <c r="C331" s="11" t="s">
        <v>59</v>
      </c>
      <c r="D331" s="62"/>
      <c r="E331" s="315">
        <v>0</v>
      </c>
    </row>
    <row r="332" spans="1:5" ht="15" hidden="1">
      <c r="A332" s="81" t="s">
        <v>87</v>
      </c>
      <c r="B332" s="82" t="s">
        <v>88</v>
      </c>
      <c r="C332" s="9" t="s">
        <v>59</v>
      </c>
      <c r="D332" s="84"/>
      <c r="E332" s="394" t="e">
        <f>E330</f>
        <v>#REF!</v>
      </c>
    </row>
    <row r="333" spans="1:5" ht="15" hidden="1">
      <c r="A333" s="81" t="s">
        <v>89</v>
      </c>
      <c r="B333" s="82" t="s">
        <v>90</v>
      </c>
      <c r="C333" s="9" t="s">
        <v>59</v>
      </c>
      <c r="D333" s="84"/>
      <c r="E333" s="392" t="e">
        <f>E332*1.09</f>
        <v>#REF!</v>
      </c>
    </row>
    <row r="334" spans="1:5" ht="15" hidden="1">
      <c r="A334" s="81" t="s">
        <v>91</v>
      </c>
      <c r="B334" s="82" t="s">
        <v>92</v>
      </c>
      <c r="C334" s="9" t="s">
        <v>59</v>
      </c>
      <c r="D334" s="84"/>
      <c r="E334" s="392" t="e">
        <f>E241</f>
        <v>#REF!</v>
      </c>
    </row>
    <row r="335" spans="1:5" ht="15" hidden="1">
      <c r="A335" s="81" t="s">
        <v>93</v>
      </c>
      <c r="B335" s="82" t="s">
        <v>94</v>
      </c>
      <c r="C335" s="81" t="s">
        <v>95</v>
      </c>
      <c r="D335" s="84"/>
      <c r="E335" s="392">
        <f>(28.01/28.2)*100-100</f>
        <v>-0.6737588652482174</v>
      </c>
    </row>
    <row r="336" spans="1:5" ht="15" hidden="1">
      <c r="A336" s="81" t="s">
        <v>96</v>
      </c>
      <c r="B336" s="83" t="s">
        <v>97</v>
      </c>
      <c r="C336" s="85" t="s">
        <v>98</v>
      </c>
      <c r="D336" s="86"/>
      <c r="E336" s="393">
        <f>1069/1000</f>
        <v>1.069</v>
      </c>
    </row>
    <row r="337" spans="1:5" ht="15" hidden="1">
      <c r="A337" s="81" t="s">
        <v>99</v>
      </c>
      <c r="B337" s="83" t="s">
        <v>100</v>
      </c>
      <c r="C337" s="80" t="s">
        <v>98</v>
      </c>
      <c r="D337" s="62"/>
      <c r="E337" s="393">
        <f>672.652/1000</f>
        <v>0.672652</v>
      </c>
    </row>
    <row r="338" spans="1:5" ht="15.75" hidden="1" thickBot="1">
      <c r="A338" s="22" t="s">
        <v>101</v>
      </c>
      <c r="B338" s="23" t="s">
        <v>102</v>
      </c>
      <c r="C338" s="80" t="s">
        <v>98</v>
      </c>
      <c r="D338" s="62"/>
      <c r="E338" s="315">
        <v>0</v>
      </c>
    </row>
    <row r="339" ht="15" hidden="1"/>
    <row r="340" ht="15" hidden="1"/>
    <row r="341" ht="15" hidden="1"/>
    <row r="342" ht="15" hidden="1"/>
    <row r="343" spans="2:4" ht="15" hidden="1">
      <c r="B343" t="s">
        <v>144</v>
      </c>
      <c r="C343" t="s">
        <v>148</v>
      </c>
      <c r="D343" s="101" t="s">
        <v>145</v>
      </c>
    </row>
    <row r="344" ht="15" hidden="1">
      <c r="C344" s="108" t="s">
        <v>149</v>
      </c>
    </row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spans="1:5" ht="15" hidden="1">
      <c r="A365" s="87" t="s">
        <v>0</v>
      </c>
      <c r="B365" s="87"/>
      <c r="C365" s="87"/>
      <c r="D365" s="87"/>
      <c r="E365" s="334" t="s">
        <v>107</v>
      </c>
    </row>
    <row r="366" spans="1:5" ht="15" hidden="1">
      <c r="A366" s="87" t="s">
        <v>1</v>
      </c>
      <c r="B366" s="87"/>
      <c r="C366" s="87"/>
      <c r="D366" s="87" t="s">
        <v>133</v>
      </c>
      <c r="E366" s="373"/>
    </row>
    <row r="367" spans="1:5" ht="15" hidden="1">
      <c r="A367" s="87" t="s">
        <v>2</v>
      </c>
      <c r="B367" s="87"/>
      <c r="C367" s="87"/>
      <c r="D367" s="87" t="s">
        <v>122</v>
      </c>
      <c r="E367" s="374"/>
    </row>
    <row r="368" spans="1:5" ht="15" hidden="1">
      <c r="A368" s="87" t="s">
        <v>3</v>
      </c>
      <c r="B368" s="87"/>
      <c r="C368" s="87"/>
      <c r="D368" s="87" t="s">
        <v>123</v>
      </c>
      <c r="E368" s="373"/>
    </row>
    <row r="369" spans="1:5" ht="15" hidden="1">
      <c r="A369" s="87" t="s">
        <v>4</v>
      </c>
      <c r="B369" s="87"/>
      <c r="C369" s="87"/>
      <c r="D369" s="87" t="s">
        <v>124</v>
      </c>
      <c r="E369" s="373"/>
    </row>
    <row r="370" spans="1:5" ht="15" hidden="1">
      <c r="A370" s="107" t="s">
        <v>147</v>
      </c>
      <c r="B370" s="87"/>
      <c r="C370" s="87"/>
      <c r="D370" s="87"/>
      <c r="E370" s="373"/>
    </row>
    <row r="371" spans="1:5" ht="15" hidden="1">
      <c r="A371" s="87" t="s">
        <v>5</v>
      </c>
      <c r="B371" s="87"/>
      <c r="C371" s="87"/>
      <c r="D371" s="87" t="s">
        <v>125</v>
      </c>
      <c r="E371" s="373"/>
    </row>
    <row r="372" spans="1:5" ht="15" hidden="1">
      <c r="A372" s="1"/>
      <c r="B372" s="1"/>
      <c r="C372" s="1"/>
      <c r="D372" s="1"/>
      <c r="E372" s="316"/>
    </row>
    <row r="373" spans="1:4" ht="15.75" hidden="1">
      <c r="A373" s="96"/>
      <c r="B373" s="96" t="s">
        <v>163</v>
      </c>
      <c r="C373" s="2"/>
      <c r="D373" s="2"/>
    </row>
    <row r="374" spans="1:4" ht="15.75" hidden="1">
      <c r="A374" s="96"/>
      <c r="B374" s="96"/>
      <c r="C374" s="105">
        <v>41599</v>
      </c>
      <c r="D374" s="2"/>
    </row>
    <row r="375" spans="1:4" ht="15.75" hidden="1">
      <c r="A375" s="96"/>
      <c r="B375" s="96"/>
      <c r="C375" s="106" t="s">
        <v>146</v>
      </c>
      <c r="D375" s="2"/>
    </row>
    <row r="376" spans="1:5" ht="15" hidden="1">
      <c r="A376" s="2" t="s">
        <v>6</v>
      </c>
      <c r="B376" s="2"/>
      <c r="C376" s="2"/>
      <c r="D376" s="2"/>
      <c r="E376" s="376"/>
    </row>
    <row r="377" spans="1:5" ht="15" hidden="1">
      <c r="A377" s="1" t="s">
        <v>150</v>
      </c>
      <c r="B377" s="1"/>
      <c r="C377" s="1"/>
      <c r="D377" s="1"/>
      <c r="E377" s="316"/>
    </row>
    <row r="378" spans="1:5" ht="15" hidden="1">
      <c r="A378" s="1" t="s">
        <v>7</v>
      </c>
      <c r="B378" s="1"/>
      <c r="C378" s="1"/>
      <c r="D378" s="1"/>
      <c r="E378" s="316"/>
    </row>
    <row r="379" spans="1:5" ht="15" hidden="1">
      <c r="A379" s="116" t="s">
        <v>157</v>
      </c>
      <c r="B379" s="116"/>
      <c r="C379" s="116"/>
      <c r="D379" s="116"/>
      <c r="E379" s="316"/>
    </row>
    <row r="380" spans="1:5" ht="15" hidden="1">
      <c r="A380" s="25" t="s">
        <v>8</v>
      </c>
      <c r="B380" s="25" t="s">
        <v>9</v>
      </c>
      <c r="C380" s="25" t="s">
        <v>10</v>
      </c>
      <c r="D380" s="25" t="s">
        <v>11</v>
      </c>
      <c r="E380" s="377" t="s">
        <v>12</v>
      </c>
    </row>
    <row r="381" spans="1:5" ht="15" hidden="1">
      <c r="A381" s="24">
        <v>1</v>
      </c>
      <c r="B381" s="24">
        <v>2</v>
      </c>
      <c r="C381" s="24">
        <v>3</v>
      </c>
      <c r="D381" s="24">
        <v>4</v>
      </c>
      <c r="E381" s="378">
        <v>5</v>
      </c>
    </row>
    <row r="382" spans="1:5" ht="15" hidden="1">
      <c r="A382" s="34" t="s">
        <v>13</v>
      </c>
      <c r="B382" s="26" t="s">
        <v>14</v>
      </c>
      <c r="C382" s="26"/>
      <c r="D382" s="26"/>
      <c r="E382" s="379"/>
    </row>
    <row r="383" spans="1:5" ht="17.25" hidden="1">
      <c r="A383" s="34" t="s">
        <v>15</v>
      </c>
      <c r="B383" s="88" t="s">
        <v>138</v>
      </c>
      <c r="C383" s="9" t="s">
        <v>59</v>
      </c>
      <c r="D383" s="90" t="s">
        <v>134</v>
      </c>
      <c r="E383" s="380" t="e">
        <f>E384+E385</f>
        <v>#REF!</v>
      </c>
    </row>
    <row r="384" spans="1:5" ht="18.75" hidden="1">
      <c r="A384" s="25" t="s">
        <v>16</v>
      </c>
      <c r="B384" s="24" t="s">
        <v>18</v>
      </c>
      <c r="C384" s="11" t="s">
        <v>59</v>
      </c>
      <c r="D384" s="77" t="s">
        <v>126</v>
      </c>
      <c r="E384" s="381">
        <v>4.57</v>
      </c>
    </row>
    <row r="385" spans="1:5" ht="33" hidden="1">
      <c r="A385" s="35" t="s">
        <v>17</v>
      </c>
      <c r="B385" s="104" t="s">
        <v>19</v>
      </c>
      <c r="C385" s="27" t="s">
        <v>59</v>
      </c>
      <c r="D385" s="28" t="s">
        <v>20</v>
      </c>
      <c r="E385" s="395" t="e">
        <f>0.28+((4325*E390+((226+106.1)*E394)+509*E398)/(44.84*1000))/10</f>
        <v>#REF!</v>
      </c>
    </row>
    <row r="386" spans="1:5" ht="15" hidden="1">
      <c r="A386" s="25" t="s">
        <v>21</v>
      </c>
      <c r="B386" s="30" t="s">
        <v>22</v>
      </c>
      <c r="C386" s="31"/>
      <c r="D386" s="33"/>
      <c r="E386" s="383"/>
    </row>
    <row r="387" spans="1:5" ht="15" hidden="1">
      <c r="A387" s="47" t="s">
        <v>23</v>
      </c>
      <c r="B387" s="48" t="s">
        <v>24</v>
      </c>
      <c r="C387" s="49"/>
      <c r="D387" s="49"/>
      <c r="E387" s="384"/>
    </row>
    <row r="388" spans="1:5" ht="15" hidden="1">
      <c r="A388" s="25" t="s">
        <v>25</v>
      </c>
      <c r="B388" s="24" t="s">
        <v>26</v>
      </c>
      <c r="C388" s="32" t="s">
        <v>41</v>
      </c>
      <c r="D388" s="24"/>
      <c r="E388" s="386" t="e">
        <f>#REF!</f>
        <v>#REF!</v>
      </c>
    </row>
    <row r="389" spans="1:5" ht="15" hidden="1">
      <c r="A389" s="25" t="s">
        <v>27</v>
      </c>
      <c r="B389" s="24" t="s">
        <v>28</v>
      </c>
      <c r="C389" s="5" t="s">
        <v>41</v>
      </c>
      <c r="D389" s="24"/>
      <c r="E389" s="378">
        <f>275.02+37.53</f>
        <v>312.54999999999995</v>
      </c>
    </row>
    <row r="390" spans="1:5" ht="15" hidden="1">
      <c r="A390" s="25" t="s">
        <v>29</v>
      </c>
      <c r="B390" s="38" t="s">
        <v>30</v>
      </c>
      <c r="C390" s="39" t="s">
        <v>41</v>
      </c>
      <c r="D390" s="24"/>
      <c r="E390" s="396" t="e">
        <f>E388+E389</f>
        <v>#REF!</v>
      </c>
    </row>
    <row r="391" spans="1:5" ht="15" hidden="1">
      <c r="A391" s="36" t="s">
        <v>31</v>
      </c>
      <c r="B391" s="41" t="s">
        <v>32</v>
      </c>
      <c r="C391" s="42"/>
      <c r="D391" s="42"/>
      <c r="E391" s="385"/>
    </row>
    <row r="392" spans="1:5" ht="15" hidden="1">
      <c r="A392" s="25" t="s">
        <v>35</v>
      </c>
      <c r="B392" s="24" t="s">
        <v>26</v>
      </c>
      <c r="C392" s="40" t="s">
        <v>33</v>
      </c>
      <c r="D392" s="24"/>
      <c r="E392" s="386" t="e">
        <f>#REF!/#REF!*1000</f>
        <v>#REF!</v>
      </c>
    </row>
    <row r="393" spans="1:5" ht="15" hidden="1">
      <c r="A393" s="25" t="s">
        <v>36</v>
      </c>
      <c r="B393" s="24" t="s">
        <v>28</v>
      </c>
      <c r="C393" s="4" t="s">
        <v>33</v>
      </c>
      <c r="D393" s="24"/>
      <c r="E393" s="386" t="e">
        <f>#REF!*1000/#REF!</f>
        <v>#REF!</v>
      </c>
    </row>
    <row r="394" spans="1:5" ht="15" hidden="1">
      <c r="A394" s="25" t="s">
        <v>37</v>
      </c>
      <c r="B394" s="24" t="s">
        <v>30</v>
      </c>
      <c r="C394" s="43" t="s">
        <v>33</v>
      </c>
      <c r="D394" s="24"/>
      <c r="E394" s="396" t="e">
        <f>SUM(E392:E393)</f>
        <v>#REF!</v>
      </c>
    </row>
    <row r="395" spans="1:5" ht="15" hidden="1">
      <c r="A395" s="37" t="s">
        <v>34</v>
      </c>
      <c r="B395" s="45" t="s">
        <v>103</v>
      </c>
      <c r="C395" s="46"/>
      <c r="D395" s="46"/>
      <c r="E395" s="387"/>
    </row>
    <row r="396" spans="1:5" ht="15" hidden="1">
      <c r="A396" s="29" t="s">
        <v>38</v>
      </c>
      <c r="B396" s="44" t="s">
        <v>26</v>
      </c>
      <c r="C396" s="40" t="s">
        <v>33</v>
      </c>
      <c r="D396" s="24"/>
      <c r="E396" s="386" t="e">
        <f>#REF!</f>
        <v>#REF!</v>
      </c>
    </row>
    <row r="397" spans="1:5" ht="15" hidden="1">
      <c r="A397" s="29" t="s">
        <v>39</v>
      </c>
      <c r="B397" s="24" t="s">
        <v>28</v>
      </c>
      <c r="C397" s="4" t="s">
        <v>33</v>
      </c>
      <c r="D397" s="24"/>
      <c r="E397" s="378"/>
    </row>
    <row r="398" spans="1:5" ht="15" hidden="1">
      <c r="A398" s="21" t="s">
        <v>40</v>
      </c>
      <c r="B398" s="38" t="s">
        <v>30</v>
      </c>
      <c r="C398" s="43" t="s">
        <v>33</v>
      </c>
      <c r="D398" s="24"/>
      <c r="E398" s="396">
        <v>778.61</v>
      </c>
    </row>
    <row r="399" spans="1:5" ht="15" hidden="1">
      <c r="A399" s="50" t="s">
        <v>42</v>
      </c>
      <c r="B399" s="51" t="s">
        <v>43</v>
      </c>
      <c r="C399" s="52"/>
      <c r="D399" s="52"/>
      <c r="E399" s="388"/>
    </row>
    <row r="400" spans="1:5" ht="15" hidden="1">
      <c r="A400" s="24" t="s">
        <v>44</v>
      </c>
      <c r="B400" s="24" t="s">
        <v>104</v>
      </c>
      <c r="C400" s="24"/>
      <c r="D400" s="24"/>
      <c r="E400" s="377" t="s">
        <v>106</v>
      </c>
    </row>
    <row r="401" spans="1:5" ht="15" hidden="1">
      <c r="A401" s="24" t="s">
        <v>45</v>
      </c>
      <c r="B401" s="24" t="s">
        <v>105</v>
      </c>
      <c r="C401" s="11" t="s">
        <v>59</v>
      </c>
      <c r="D401" s="24"/>
      <c r="E401" s="378">
        <v>0</v>
      </c>
    </row>
    <row r="402" spans="1:5" ht="17.25" hidden="1">
      <c r="A402" s="91" t="s">
        <v>46</v>
      </c>
      <c r="B402" s="91" t="s">
        <v>127</v>
      </c>
      <c r="C402" s="94" t="s">
        <v>59</v>
      </c>
      <c r="D402" s="95" t="s">
        <v>136</v>
      </c>
      <c r="E402" s="389"/>
    </row>
    <row r="403" spans="1:5" ht="18.75" hidden="1">
      <c r="A403" s="24" t="s">
        <v>48</v>
      </c>
      <c r="B403" s="24" t="s">
        <v>49</v>
      </c>
      <c r="C403" s="53" t="s">
        <v>59</v>
      </c>
      <c r="D403" s="77" t="s">
        <v>128</v>
      </c>
      <c r="E403" s="386">
        <f>E384</f>
        <v>4.57</v>
      </c>
    </row>
    <row r="404" spans="1:5" ht="33" hidden="1">
      <c r="A404" s="35" t="s">
        <v>50</v>
      </c>
      <c r="B404" s="35" t="s">
        <v>51</v>
      </c>
      <c r="C404" s="27" t="s">
        <v>59</v>
      </c>
      <c r="D404" s="54" t="s">
        <v>20</v>
      </c>
      <c r="E404" s="390" t="e">
        <f>E385</f>
        <v>#REF!</v>
      </c>
    </row>
    <row r="405" spans="1:5" ht="15" hidden="1">
      <c r="A405" s="24" t="s">
        <v>52</v>
      </c>
      <c r="B405" s="55" t="s">
        <v>53</v>
      </c>
      <c r="C405" s="33"/>
      <c r="D405" s="33"/>
      <c r="E405" s="383"/>
    </row>
    <row r="406" spans="1:5" ht="15" hidden="1">
      <c r="A406" s="24" t="s">
        <v>54</v>
      </c>
      <c r="B406" s="24" t="s">
        <v>55</v>
      </c>
      <c r="C406" s="11" t="s">
        <v>56</v>
      </c>
      <c r="D406" s="24"/>
      <c r="E406" s="378">
        <v>33.57</v>
      </c>
    </row>
    <row r="407" spans="1:5" ht="15" hidden="1">
      <c r="A407" s="24" t="s">
        <v>57</v>
      </c>
      <c r="B407" s="24" t="s">
        <v>58</v>
      </c>
      <c r="C407" s="11" t="s">
        <v>59</v>
      </c>
      <c r="D407" s="56" t="s">
        <v>47</v>
      </c>
      <c r="E407" s="378"/>
    </row>
    <row r="408" spans="1:5" ht="15" hidden="1">
      <c r="A408" s="34" t="s">
        <v>60</v>
      </c>
      <c r="B408" s="559" t="s">
        <v>61</v>
      </c>
      <c r="C408" s="560"/>
      <c r="D408" s="560"/>
      <c r="E408" s="561"/>
    </row>
    <row r="409" spans="1:5" ht="17.25" hidden="1">
      <c r="A409" s="12" t="s">
        <v>62</v>
      </c>
      <c r="B409" s="16" t="s">
        <v>137</v>
      </c>
      <c r="C409" s="9" t="s">
        <v>59</v>
      </c>
      <c r="D409" s="95" t="s">
        <v>135</v>
      </c>
      <c r="E409" s="380" t="e">
        <f>E410+E411</f>
        <v>#REF!</v>
      </c>
    </row>
    <row r="410" spans="1:5" ht="18.75" hidden="1">
      <c r="A410" s="13" t="s">
        <v>63</v>
      </c>
      <c r="B410" s="14" t="s">
        <v>64</v>
      </c>
      <c r="C410" s="11" t="s">
        <v>59</v>
      </c>
      <c r="D410" s="77" t="s">
        <v>129</v>
      </c>
      <c r="E410" s="378">
        <v>2.39</v>
      </c>
    </row>
    <row r="411" spans="1:5" ht="18.75" hidden="1">
      <c r="A411" s="13" t="s">
        <v>65</v>
      </c>
      <c r="B411" s="15" t="s">
        <v>66</v>
      </c>
      <c r="C411" s="20"/>
      <c r="D411" s="89" t="s">
        <v>130</v>
      </c>
      <c r="E411" s="386" t="e">
        <f>0.39+(7.24*E383/37.6)</f>
        <v>#REF!</v>
      </c>
    </row>
    <row r="412" spans="1:5" ht="15" hidden="1">
      <c r="A412" s="12" t="s">
        <v>67</v>
      </c>
      <c r="B412" s="16" t="s">
        <v>68</v>
      </c>
      <c r="C412" s="9"/>
      <c r="D412" s="24"/>
      <c r="E412" s="378"/>
    </row>
    <row r="413" spans="1:5" ht="15" hidden="1">
      <c r="A413" s="12" t="s">
        <v>69</v>
      </c>
      <c r="B413" s="17" t="s">
        <v>55</v>
      </c>
      <c r="C413" s="10" t="s">
        <v>56</v>
      </c>
      <c r="D413" s="24"/>
      <c r="E413" s="378"/>
    </row>
    <row r="414" spans="1:5" ht="18.75" hidden="1">
      <c r="A414" s="12" t="s">
        <v>70</v>
      </c>
      <c r="B414" s="17" t="s">
        <v>71</v>
      </c>
      <c r="C414" s="11" t="s">
        <v>59</v>
      </c>
      <c r="D414" s="77" t="s">
        <v>131</v>
      </c>
      <c r="E414" s="378"/>
    </row>
    <row r="415" spans="1:5" ht="15" hidden="1">
      <c r="A415" s="81" t="s">
        <v>72</v>
      </c>
      <c r="B415" s="562" t="s">
        <v>73</v>
      </c>
      <c r="C415" s="563"/>
      <c r="D415" s="563"/>
      <c r="E415" s="564"/>
    </row>
    <row r="416" spans="1:5" ht="15" hidden="1">
      <c r="A416" s="548" t="s">
        <v>79</v>
      </c>
      <c r="B416" s="18" t="s">
        <v>74</v>
      </c>
      <c r="C416" s="11" t="s">
        <v>59</v>
      </c>
      <c r="D416" s="79" t="s">
        <v>106</v>
      </c>
      <c r="E416" s="315">
        <v>0.31</v>
      </c>
    </row>
    <row r="417" spans="1:5" ht="15" hidden="1">
      <c r="A417" s="565"/>
      <c r="B417" s="19" t="s">
        <v>75</v>
      </c>
      <c r="C417" s="53" t="s">
        <v>76</v>
      </c>
      <c r="D417" s="79" t="s">
        <v>106</v>
      </c>
      <c r="E417" s="315">
        <v>2.32</v>
      </c>
    </row>
    <row r="418" spans="1:5" ht="15.75" hidden="1" thickBot="1">
      <c r="A418" s="565"/>
      <c r="B418" s="19" t="s">
        <v>77</v>
      </c>
      <c r="C418" s="78" t="s">
        <v>78</v>
      </c>
      <c r="D418" s="79" t="s">
        <v>106</v>
      </c>
      <c r="E418" s="315">
        <v>46.02</v>
      </c>
    </row>
    <row r="419" spans="1:5" ht="15" hidden="1">
      <c r="A419" s="81" t="s">
        <v>80</v>
      </c>
      <c r="B419" s="82" t="s">
        <v>81</v>
      </c>
      <c r="C419" s="11" t="s">
        <v>59</v>
      </c>
      <c r="D419" s="62"/>
      <c r="E419" s="315">
        <v>0.12</v>
      </c>
    </row>
    <row r="420" spans="1:5" ht="15" hidden="1">
      <c r="A420" s="81" t="s">
        <v>82</v>
      </c>
      <c r="B420" s="82" t="s">
        <v>83</v>
      </c>
      <c r="C420" s="11" t="s">
        <v>59</v>
      </c>
      <c r="D420" s="62"/>
      <c r="E420" s="315">
        <v>-0.27</v>
      </c>
    </row>
    <row r="421" spans="1:5" ht="15" hidden="1">
      <c r="A421" s="81" t="s">
        <v>84</v>
      </c>
      <c r="B421" s="82" t="s">
        <v>132</v>
      </c>
      <c r="C421" s="11" t="s">
        <v>59</v>
      </c>
      <c r="D421" s="62"/>
      <c r="E421" s="394" t="e">
        <f>E383+E409+E416+E419+E420</f>
        <v>#REF!</v>
      </c>
    </row>
    <row r="422" spans="1:5" ht="15" hidden="1">
      <c r="A422" s="81" t="s">
        <v>85</v>
      </c>
      <c r="B422" s="82" t="s">
        <v>86</v>
      </c>
      <c r="C422" s="11" t="s">
        <v>59</v>
      </c>
      <c r="D422" s="62"/>
      <c r="E422" s="315">
        <v>0</v>
      </c>
    </row>
    <row r="423" spans="1:5" ht="15" hidden="1">
      <c r="A423" s="81" t="s">
        <v>87</v>
      </c>
      <c r="B423" s="82" t="s">
        <v>88</v>
      </c>
      <c r="C423" s="9" t="s">
        <v>59</v>
      </c>
      <c r="D423" s="84"/>
      <c r="E423" s="394" t="e">
        <f>E421</f>
        <v>#REF!</v>
      </c>
    </row>
    <row r="424" spans="1:5" ht="15" hidden="1">
      <c r="A424" s="81" t="s">
        <v>89</v>
      </c>
      <c r="B424" s="82" t="s">
        <v>90</v>
      </c>
      <c r="C424" s="9" t="s">
        <v>59</v>
      </c>
      <c r="D424" s="84"/>
      <c r="E424" s="392" t="e">
        <f>E423*1.09</f>
        <v>#REF!</v>
      </c>
    </row>
    <row r="425" spans="1:5" ht="15" hidden="1">
      <c r="A425" s="81" t="s">
        <v>91</v>
      </c>
      <c r="B425" s="82" t="s">
        <v>92</v>
      </c>
      <c r="C425" s="9" t="s">
        <v>59</v>
      </c>
      <c r="D425" s="84"/>
      <c r="E425" s="392" t="e">
        <f>E332</f>
        <v>#REF!</v>
      </c>
    </row>
    <row r="426" spans="1:5" ht="15" hidden="1">
      <c r="A426" s="81" t="s">
        <v>93</v>
      </c>
      <c r="B426" s="82" t="s">
        <v>94</v>
      </c>
      <c r="C426" s="81" t="s">
        <v>95</v>
      </c>
      <c r="D426" s="84"/>
      <c r="E426" s="392" t="e">
        <f>(E421/E425)*100-100</f>
        <v>#REF!</v>
      </c>
    </row>
    <row r="427" spans="1:5" ht="15" hidden="1">
      <c r="A427" s="81" t="s">
        <v>96</v>
      </c>
      <c r="B427" s="83" t="s">
        <v>97</v>
      </c>
      <c r="C427" s="85" t="s">
        <v>98</v>
      </c>
      <c r="D427" s="86"/>
      <c r="E427" s="393">
        <v>3.45</v>
      </c>
    </row>
    <row r="428" spans="1:5" ht="15" hidden="1">
      <c r="A428" s="81" t="s">
        <v>99</v>
      </c>
      <c r="B428" s="83" t="s">
        <v>100</v>
      </c>
      <c r="C428" s="80" t="s">
        <v>98</v>
      </c>
      <c r="D428" s="62"/>
      <c r="E428" s="393">
        <v>2.78</v>
      </c>
    </row>
    <row r="429" spans="1:5" ht="15.75" hidden="1" thickBot="1">
      <c r="A429" s="22" t="s">
        <v>101</v>
      </c>
      <c r="B429" s="23" t="s">
        <v>102</v>
      </c>
      <c r="C429" s="80" t="s">
        <v>98</v>
      </c>
      <c r="D429" s="62"/>
      <c r="E429" s="315">
        <v>0</v>
      </c>
    </row>
    <row r="430" ht="15" hidden="1"/>
    <row r="431" ht="15" hidden="1"/>
    <row r="432" ht="15" hidden="1"/>
    <row r="433" ht="15" hidden="1">
      <c r="B433" s="154" t="s">
        <v>168</v>
      </c>
    </row>
    <row r="434" spans="1:7" ht="15" hidden="1">
      <c r="A434" s="155" t="s">
        <v>169</v>
      </c>
      <c r="B434" s="155"/>
      <c r="C434" s="155"/>
      <c r="D434" s="155"/>
      <c r="E434" s="334"/>
      <c r="F434" s="155"/>
      <c r="G434" s="155"/>
    </row>
    <row r="435" spans="1:7" ht="15" hidden="1">
      <c r="A435" s="155" t="s">
        <v>170</v>
      </c>
      <c r="B435" s="155"/>
      <c r="C435" s="155"/>
      <c r="D435" s="155"/>
      <c r="E435" s="334"/>
      <c r="F435" s="155"/>
      <c r="G435" s="155"/>
    </row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spans="2:4" ht="15" hidden="1">
      <c r="B447" t="s">
        <v>144</v>
      </c>
      <c r="C447" t="s">
        <v>148</v>
      </c>
      <c r="D447" s="101" t="s">
        <v>145</v>
      </c>
    </row>
    <row r="448" ht="15" hidden="1">
      <c r="C448" s="108" t="s">
        <v>149</v>
      </c>
    </row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spans="1:5" ht="15" hidden="1">
      <c r="A456" s="87" t="s">
        <v>0</v>
      </c>
      <c r="B456" s="87"/>
      <c r="C456" s="87"/>
      <c r="D456" s="87"/>
      <c r="E456" s="334" t="s">
        <v>107</v>
      </c>
    </row>
    <row r="457" spans="1:5" ht="15" hidden="1">
      <c r="A457" s="87" t="s">
        <v>1</v>
      </c>
      <c r="B457" s="87"/>
      <c r="C457" s="87"/>
      <c r="D457" s="87" t="s">
        <v>133</v>
      </c>
      <c r="E457" s="373"/>
    </row>
    <row r="458" spans="1:5" ht="15" hidden="1">
      <c r="A458" s="87" t="s">
        <v>2</v>
      </c>
      <c r="B458" s="87"/>
      <c r="C458" s="87"/>
      <c r="D458" s="87" t="s">
        <v>122</v>
      </c>
      <c r="E458" s="374"/>
    </row>
    <row r="459" spans="1:5" ht="15" hidden="1">
      <c r="A459" s="87" t="s">
        <v>3</v>
      </c>
      <c r="B459" s="87"/>
      <c r="C459" s="87"/>
      <c r="D459" s="87" t="s">
        <v>123</v>
      </c>
      <c r="E459" s="373"/>
    </row>
    <row r="460" spans="1:5" ht="15" hidden="1">
      <c r="A460" s="87" t="s">
        <v>4</v>
      </c>
      <c r="B460" s="87"/>
      <c r="C460" s="87"/>
      <c r="D460" s="87" t="s">
        <v>124</v>
      </c>
      <c r="E460" s="373"/>
    </row>
    <row r="461" spans="1:5" ht="15" hidden="1">
      <c r="A461" s="107" t="s">
        <v>147</v>
      </c>
      <c r="B461" s="87"/>
      <c r="C461" s="87"/>
      <c r="D461" s="87"/>
      <c r="E461" s="373"/>
    </row>
    <row r="462" spans="1:5" ht="15" hidden="1">
      <c r="A462" s="87" t="s">
        <v>5</v>
      </c>
      <c r="B462" s="87"/>
      <c r="C462" s="87"/>
      <c r="D462" s="87" t="s">
        <v>125</v>
      </c>
      <c r="E462" s="373"/>
    </row>
    <row r="463" spans="1:5" ht="15" hidden="1">
      <c r="A463" s="1"/>
      <c r="B463" s="1"/>
      <c r="C463" s="1"/>
      <c r="D463" s="1"/>
      <c r="E463" s="316"/>
    </row>
    <row r="464" spans="1:4" ht="15.75" hidden="1">
      <c r="A464" s="96"/>
      <c r="B464" s="96" t="s">
        <v>172</v>
      </c>
      <c r="C464" s="2"/>
      <c r="D464" s="2"/>
    </row>
    <row r="465" spans="1:4" ht="15.75" hidden="1">
      <c r="A465" s="96"/>
      <c r="B465" s="96"/>
      <c r="C465" s="105">
        <v>41627</v>
      </c>
      <c r="D465" s="2"/>
    </row>
    <row r="466" spans="1:4" ht="15.75" hidden="1">
      <c r="A466" s="96"/>
      <c r="B466" s="96"/>
      <c r="C466" s="106" t="s">
        <v>146</v>
      </c>
      <c r="D466" s="2"/>
    </row>
    <row r="467" spans="1:5" ht="15" hidden="1">
      <c r="A467" s="2" t="s">
        <v>6</v>
      </c>
      <c r="B467" s="2"/>
      <c r="C467" s="2"/>
      <c r="D467" s="2"/>
      <c r="E467" s="376"/>
    </row>
    <row r="468" spans="1:5" ht="15" hidden="1">
      <c r="A468" s="1" t="s">
        <v>174</v>
      </c>
      <c r="B468" s="1"/>
      <c r="C468" s="1"/>
      <c r="D468" s="1"/>
      <c r="E468" s="316"/>
    </row>
    <row r="469" spans="1:5" ht="15" hidden="1">
      <c r="A469" s="1" t="s">
        <v>7</v>
      </c>
      <c r="B469" s="1"/>
      <c r="C469" s="1"/>
      <c r="D469" s="1"/>
      <c r="E469" s="316"/>
    </row>
    <row r="470" spans="1:5" ht="15.75" hidden="1" thickBot="1">
      <c r="A470" s="116" t="s">
        <v>157</v>
      </c>
      <c r="B470" s="116"/>
      <c r="C470" s="116"/>
      <c r="D470" s="116"/>
      <c r="E470" s="316"/>
    </row>
    <row r="471" spans="1:5" ht="15" hidden="1">
      <c r="A471" s="117" t="s">
        <v>8</v>
      </c>
      <c r="B471" s="118" t="s">
        <v>9</v>
      </c>
      <c r="C471" s="118" t="s">
        <v>10</v>
      </c>
      <c r="D471" s="118" t="s">
        <v>11</v>
      </c>
      <c r="E471" s="397" t="s">
        <v>12</v>
      </c>
    </row>
    <row r="472" spans="1:5" ht="15" hidden="1">
      <c r="A472" s="121">
        <v>1</v>
      </c>
      <c r="B472" s="24">
        <v>2</v>
      </c>
      <c r="C472" s="24">
        <v>3</v>
      </c>
      <c r="D472" s="24">
        <v>4</v>
      </c>
      <c r="E472" s="398">
        <v>5</v>
      </c>
    </row>
    <row r="473" spans="1:5" ht="15" hidden="1">
      <c r="A473" s="162" t="s">
        <v>13</v>
      </c>
      <c r="B473" s="26" t="s">
        <v>14</v>
      </c>
      <c r="C473" s="26"/>
      <c r="D473" s="26"/>
      <c r="E473" s="399"/>
    </row>
    <row r="474" spans="1:5" ht="17.25" hidden="1">
      <c r="A474" s="162" t="s">
        <v>15</v>
      </c>
      <c r="B474" s="88" t="s">
        <v>138</v>
      </c>
      <c r="C474" s="9" t="s">
        <v>59</v>
      </c>
      <c r="D474" s="163" t="s">
        <v>134</v>
      </c>
      <c r="E474" s="400" t="e">
        <f>E475+E476</f>
        <v>#REF!</v>
      </c>
    </row>
    <row r="475" spans="1:5" ht="18.75" hidden="1">
      <c r="A475" s="164" t="s">
        <v>16</v>
      </c>
      <c r="B475" s="24" t="s">
        <v>18</v>
      </c>
      <c r="C475" s="11" t="s">
        <v>59</v>
      </c>
      <c r="D475" s="77" t="s">
        <v>126</v>
      </c>
      <c r="E475" s="381">
        <v>4.57</v>
      </c>
    </row>
    <row r="476" spans="1:5" ht="33" hidden="1">
      <c r="A476" s="165" t="s">
        <v>17</v>
      </c>
      <c r="B476" s="104" t="s">
        <v>19</v>
      </c>
      <c r="C476" s="27" t="s">
        <v>59</v>
      </c>
      <c r="D476" s="28" t="s">
        <v>20</v>
      </c>
      <c r="E476" s="401" t="e">
        <f>0.28+((4325*E481+((226+106.1)*E485)+509*E489)/(44.84*1000))/10</f>
        <v>#REF!</v>
      </c>
    </row>
    <row r="477" spans="1:5" ht="15" hidden="1">
      <c r="A477" s="164" t="s">
        <v>21</v>
      </c>
      <c r="B477" s="30" t="s">
        <v>22</v>
      </c>
      <c r="C477" s="31"/>
      <c r="D477" s="33"/>
      <c r="E477" s="402"/>
    </row>
    <row r="478" spans="1:5" ht="15" hidden="1">
      <c r="A478" s="166" t="s">
        <v>23</v>
      </c>
      <c r="B478" s="48" t="s">
        <v>24</v>
      </c>
      <c r="C478" s="49"/>
      <c r="D478" s="49"/>
      <c r="E478" s="403"/>
    </row>
    <row r="479" spans="1:5" ht="15" hidden="1">
      <c r="A479" s="164" t="s">
        <v>25</v>
      </c>
      <c r="B479" s="24" t="s">
        <v>26</v>
      </c>
      <c r="C479" s="32" t="s">
        <v>41</v>
      </c>
      <c r="D479" s="24"/>
      <c r="E479" s="404" t="e">
        <f>#REF!</f>
        <v>#REF!</v>
      </c>
    </row>
    <row r="480" spans="1:5" ht="15" hidden="1">
      <c r="A480" s="164" t="s">
        <v>27</v>
      </c>
      <c r="B480" s="24" t="s">
        <v>28</v>
      </c>
      <c r="C480" s="5" t="s">
        <v>41</v>
      </c>
      <c r="D480" s="24"/>
      <c r="E480" s="398">
        <f>275.02+37.53</f>
        <v>312.54999999999995</v>
      </c>
    </row>
    <row r="481" spans="1:5" ht="15" hidden="1">
      <c r="A481" s="164" t="s">
        <v>29</v>
      </c>
      <c r="B481" s="38" t="s">
        <v>30</v>
      </c>
      <c r="C481" s="39" t="s">
        <v>41</v>
      </c>
      <c r="D481" s="24"/>
      <c r="E481" s="405" t="e">
        <f>E479+E480</f>
        <v>#REF!</v>
      </c>
    </row>
    <row r="482" spans="1:5" ht="15" hidden="1">
      <c r="A482" s="167" t="s">
        <v>31</v>
      </c>
      <c r="B482" s="41" t="s">
        <v>32</v>
      </c>
      <c r="C482" s="42"/>
      <c r="D482" s="42"/>
      <c r="E482" s="406"/>
    </row>
    <row r="483" spans="1:5" ht="15" hidden="1">
      <c r="A483" s="164" t="s">
        <v>35</v>
      </c>
      <c r="B483" s="24" t="s">
        <v>26</v>
      </c>
      <c r="C483" s="40" t="s">
        <v>33</v>
      </c>
      <c r="D483" s="24"/>
      <c r="E483" s="404"/>
    </row>
    <row r="484" spans="1:5" ht="15" hidden="1">
      <c r="A484" s="164" t="s">
        <v>36</v>
      </c>
      <c r="B484" s="24" t="s">
        <v>28</v>
      </c>
      <c r="C484" s="4" t="s">
        <v>33</v>
      </c>
      <c r="D484" s="24"/>
      <c r="E484" s="404"/>
    </row>
    <row r="485" spans="1:5" ht="15" hidden="1">
      <c r="A485" s="164" t="s">
        <v>37</v>
      </c>
      <c r="B485" s="24" t="s">
        <v>30</v>
      </c>
      <c r="C485" s="43" t="s">
        <v>33</v>
      </c>
      <c r="D485" s="24"/>
      <c r="E485" s="405">
        <v>593.56</v>
      </c>
    </row>
    <row r="486" spans="1:5" ht="15" hidden="1">
      <c r="A486" s="168" t="s">
        <v>34</v>
      </c>
      <c r="B486" s="45" t="s">
        <v>103</v>
      </c>
      <c r="C486" s="46"/>
      <c r="D486" s="46"/>
      <c r="E486" s="407"/>
    </row>
    <row r="487" spans="1:5" ht="15" hidden="1">
      <c r="A487" s="169" t="s">
        <v>38</v>
      </c>
      <c r="B487" s="44" t="s">
        <v>26</v>
      </c>
      <c r="C487" s="40" t="s">
        <v>33</v>
      </c>
      <c r="D487" s="24"/>
      <c r="E487" s="404" t="e">
        <f>#REF!</f>
        <v>#REF!</v>
      </c>
    </row>
    <row r="488" spans="1:5" ht="15" hidden="1">
      <c r="A488" s="169" t="s">
        <v>39</v>
      </c>
      <c r="B488" s="24" t="s">
        <v>28</v>
      </c>
      <c r="C488" s="4" t="s">
        <v>33</v>
      </c>
      <c r="D488" s="24"/>
      <c r="E488" s="398"/>
    </row>
    <row r="489" spans="1:5" ht="15" hidden="1">
      <c r="A489" s="21" t="s">
        <v>40</v>
      </c>
      <c r="B489" s="38" t="s">
        <v>30</v>
      </c>
      <c r="C489" s="43" t="s">
        <v>33</v>
      </c>
      <c r="D489" s="24"/>
      <c r="E489" s="405">
        <v>790.6</v>
      </c>
    </row>
    <row r="490" spans="1:5" ht="15" hidden="1">
      <c r="A490" s="170" t="s">
        <v>42</v>
      </c>
      <c r="B490" s="51" t="s">
        <v>43</v>
      </c>
      <c r="C490" s="52"/>
      <c r="D490" s="52"/>
      <c r="E490" s="408"/>
    </row>
    <row r="491" spans="1:5" ht="15" hidden="1">
      <c r="A491" s="121" t="s">
        <v>44</v>
      </c>
      <c r="B491" s="24" t="s">
        <v>104</v>
      </c>
      <c r="C491" s="24"/>
      <c r="D491" s="24"/>
      <c r="E491" s="409" t="s">
        <v>106</v>
      </c>
    </row>
    <row r="492" spans="1:5" ht="15" hidden="1">
      <c r="A492" s="121" t="s">
        <v>45</v>
      </c>
      <c r="B492" s="24" t="s">
        <v>105</v>
      </c>
      <c r="C492" s="11" t="s">
        <v>59</v>
      </c>
      <c r="D492" s="24"/>
      <c r="E492" s="398">
        <v>0</v>
      </c>
    </row>
    <row r="493" spans="1:5" ht="17.25" hidden="1">
      <c r="A493" s="171" t="s">
        <v>46</v>
      </c>
      <c r="B493" s="91" t="s">
        <v>127</v>
      </c>
      <c r="C493" s="94" t="s">
        <v>59</v>
      </c>
      <c r="D493" s="95" t="s">
        <v>136</v>
      </c>
      <c r="E493" s="410"/>
    </row>
    <row r="494" spans="1:5" ht="18.75" hidden="1">
      <c r="A494" s="121" t="s">
        <v>48</v>
      </c>
      <c r="B494" s="24" t="s">
        <v>49</v>
      </c>
      <c r="C494" s="53" t="s">
        <v>59</v>
      </c>
      <c r="D494" s="77" t="s">
        <v>128</v>
      </c>
      <c r="E494" s="404">
        <f>E475</f>
        <v>4.57</v>
      </c>
    </row>
    <row r="495" spans="1:5" ht="33" hidden="1">
      <c r="A495" s="165" t="s">
        <v>50</v>
      </c>
      <c r="B495" s="35" t="s">
        <v>51</v>
      </c>
      <c r="C495" s="27" t="s">
        <v>59</v>
      </c>
      <c r="D495" s="54" t="s">
        <v>20</v>
      </c>
      <c r="E495" s="411" t="e">
        <f>E476</f>
        <v>#REF!</v>
      </c>
    </row>
    <row r="496" spans="1:5" ht="15" hidden="1">
      <c r="A496" s="121" t="s">
        <v>52</v>
      </c>
      <c r="B496" s="55" t="s">
        <v>53</v>
      </c>
      <c r="C496" s="33"/>
      <c r="D496" s="33"/>
      <c r="E496" s="402"/>
    </row>
    <row r="497" spans="1:5" ht="15" hidden="1">
      <c r="A497" s="121" t="s">
        <v>54</v>
      </c>
      <c r="B497" s="24" t="s">
        <v>55</v>
      </c>
      <c r="C497" s="11" t="s">
        <v>56</v>
      </c>
      <c r="D497" s="24"/>
      <c r="E497" s="398">
        <v>33.57</v>
      </c>
    </row>
    <row r="498" spans="1:5" ht="15" hidden="1">
      <c r="A498" s="121" t="s">
        <v>57</v>
      </c>
      <c r="B498" s="24" t="s">
        <v>58</v>
      </c>
      <c r="C498" s="11" t="s">
        <v>59</v>
      </c>
      <c r="D498" s="56" t="s">
        <v>47</v>
      </c>
      <c r="E498" s="398"/>
    </row>
    <row r="499" spans="1:5" ht="15" hidden="1">
      <c r="A499" s="162" t="s">
        <v>60</v>
      </c>
      <c r="B499" s="559" t="s">
        <v>61</v>
      </c>
      <c r="C499" s="560"/>
      <c r="D499" s="560"/>
      <c r="E499" s="561"/>
    </row>
    <row r="500" spans="1:5" ht="17.25" hidden="1">
      <c r="A500" s="12" t="s">
        <v>62</v>
      </c>
      <c r="B500" s="16" t="s">
        <v>137</v>
      </c>
      <c r="C500" s="9" t="s">
        <v>59</v>
      </c>
      <c r="D500" s="95" t="s">
        <v>135</v>
      </c>
      <c r="E500" s="400" t="e">
        <f>E501+E502</f>
        <v>#REF!</v>
      </c>
    </row>
    <row r="501" spans="1:5" ht="18.75" hidden="1">
      <c r="A501" s="13" t="s">
        <v>63</v>
      </c>
      <c r="B501" s="14" t="s">
        <v>64</v>
      </c>
      <c r="C501" s="11" t="s">
        <v>59</v>
      </c>
      <c r="D501" s="77" t="s">
        <v>129</v>
      </c>
      <c r="E501" s="398">
        <v>2.39</v>
      </c>
    </row>
    <row r="502" spans="1:5" ht="18.75" hidden="1">
      <c r="A502" s="13" t="s">
        <v>65</v>
      </c>
      <c r="B502" s="15" t="s">
        <v>66</v>
      </c>
      <c r="C502" s="20"/>
      <c r="D502" s="89" t="s">
        <v>130</v>
      </c>
      <c r="E502" s="404" t="e">
        <f>0.39+(7.24*E474/37.6)</f>
        <v>#REF!</v>
      </c>
    </row>
    <row r="503" spans="1:5" ht="15" hidden="1">
      <c r="A503" s="12" t="s">
        <v>67</v>
      </c>
      <c r="B503" s="16" t="s">
        <v>68</v>
      </c>
      <c r="C503" s="9"/>
      <c r="D503" s="24"/>
      <c r="E503" s="398"/>
    </row>
    <row r="504" spans="1:5" ht="15" hidden="1">
      <c r="A504" s="12" t="s">
        <v>69</v>
      </c>
      <c r="B504" s="17" t="s">
        <v>55</v>
      </c>
      <c r="C504" s="10" t="s">
        <v>56</v>
      </c>
      <c r="D504" s="24"/>
      <c r="E504" s="398"/>
    </row>
    <row r="505" spans="1:5" ht="18.75" hidden="1">
      <c r="A505" s="12" t="s">
        <v>70</v>
      </c>
      <c r="B505" s="17" t="s">
        <v>71</v>
      </c>
      <c r="C505" s="11" t="s">
        <v>59</v>
      </c>
      <c r="D505" s="77" t="s">
        <v>131</v>
      </c>
      <c r="E505" s="398"/>
    </row>
    <row r="506" spans="1:5" ht="15" hidden="1">
      <c r="A506" s="172" t="s">
        <v>72</v>
      </c>
      <c r="B506" s="562" t="s">
        <v>73</v>
      </c>
      <c r="C506" s="563"/>
      <c r="D506" s="563"/>
      <c r="E506" s="564"/>
    </row>
    <row r="507" spans="1:5" ht="15" hidden="1">
      <c r="A507" s="557" t="s">
        <v>79</v>
      </c>
      <c r="B507" s="18" t="s">
        <v>74</v>
      </c>
      <c r="C507" s="11" t="s">
        <v>59</v>
      </c>
      <c r="D507" s="79" t="s">
        <v>106</v>
      </c>
      <c r="E507" s="412">
        <v>0.31</v>
      </c>
    </row>
    <row r="508" spans="1:5" ht="15" hidden="1">
      <c r="A508" s="558"/>
      <c r="B508" s="19" t="s">
        <v>75</v>
      </c>
      <c r="C508" s="53" t="s">
        <v>76</v>
      </c>
      <c r="D508" s="79" t="s">
        <v>106</v>
      </c>
      <c r="E508" s="412">
        <v>2.32</v>
      </c>
    </row>
    <row r="509" spans="1:5" ht="15.75" hidden="1" thickBot="1">
      <c r="A509" s="558"/>
      <c r="B509" s="19" t="s">
        <v>77</v>
      </c>
      <c r="C509" s="78" t="s">
        <v>78</v>
      </c>
      <c r="D509" s="79" t="s">
        <v>106</v>
      </c>
      <c r="E509" s="412">
        <v>46.02</v>
      </c>
    </row>
    <row r="510" spans="1:5" ht="15" hidden="1">
      <c r="A510" s="172" t="s">
        <v>80</v>
      </c>
      <c r="B510" s="82" t="s">
        <v>81</v>
      </c>
      <c r="C510" s="11" t="s">
        <v>59</v>
      </c>
      <c r="D510" s="62"/>
      <c r="E510" s="412">
        <v>0.12</v>
      </c>
    </row>
    <row r="511" spans="1:5" ht="15" hidden="1">
      <c r="A511" s="172" t="s">
        <v>82</v>
      </c>
      <c r="B511" s="82" t="s">
        <v>83</v>
      </c>
      <c r="C511" s="11" t="s">
        <v>59</v>
      </c>
      <c r="D511" s="62"/>
      <c r="E511" s="412">
        <v>-0.27</v>
      </c>
    </row>
    <row r="512" spans="1:5" ht="15" hidden="1">
      <c r="A512" s="172" t="s">
        <v>84</v>
      </c>
      <c r="B512" s="82" t="s">
        <v>132</v>
      </c>
      <c r="C512" s="11" t="s">
        <v>59</v>
      </c>
      <c r="D512" s="62"/>
      <c r="E512" s="413" t="e">
        <f>E474+E500+E507+E510+E511</f>
        <v>#REF!</v>
      </c>
    </row>
    <row r="513" spans="1:5" ht="15" hidden="1">
      <c r="A513" s="172" t="s">
        <v>85</v>
      </c>
      <c r="B513" s="82" t="s">
        <v>86</v>
      </c>
      <c r="C513" s="11" t="s">
        <v>59</v>
      </c>
      <c r="D513" s="62"/>
      <c r="E513" s="412">
        <v>0</v>
      </c>
    </row>
    <row r="514" spans="1:5" ht="15" hidden="1">
      <c r="A514" s="172" t="s">
        <v>87</v>
      </c>
      <c r="B514" s="82" t="s">
        <v>88</v>
      </c>
      <c r="C514" s="9" t="s">
        <v>59</v>
      </c>
      <c r="D514" s="84"/>
      <c r="E514" s="413" t="e">
        <f>E512</f>
        <v>#REF!</v>
      </c>
    </row>
    <row r="515" spans="1:5" ht="15" hidden="1">
      <c r="A515" s="172" t="s">
        <v>89</v>
      </c>
      <c r="B515" s="82" t="s">
        <v>90</v>
      </c>
      <c r="C515" s="9" t="s">
        <v>59</v>
      </c>
      <c r="D515" s="84"/>
      <c r="E515" s="414" t="e">
        <f>E514*1.09</f>
        <v>#REF!</v>
      </c>
    </row>
    <row r="516" spans="1:5" ht="15" hidden="1">
      <c r="A516" s="172" t="s">
        <v>91</v>
      </c>
      <c r="B516" s="82" t="s">
        <v>92</v>
      </c>
      <c r="C516" s="9" t="s">
        <v>59</v>
      </c>
      <c r="D516" s="84"/>
      <c r="E516" s="414" t="e">
        <f>E423</f>
        <v>#REF!</v>
      </c>
    </row>
    <row r="517" spans="1:5" ht="15" hidden="1">
      <c r="A517" s="172" t="s">
        <v>93</v>
      </c>
      <c r="B517" s="82" t="s">
        <v>94</v>
      </c>
      <c r="C517" s="81" t="s">
        <v>95</v>
      </c>
      <c r="D517" s="84"/>
      <c r="E517" s="414" t="e">
        <f>(E512/E516)*100-100</f>
        <v>#REF!</v>
      </c>
    </row>
    <row r="518" spans="1:5" ht="15" hidden="1">
      <c r="A518" s="172" t="s">
        <v>96</v>
      </c>
      <c r="B518" s="83" t="s">
        <v>97</v>
      </c>
      <c r="C518" s="85" t="s">
        <v>98</v>
      </c>
      <c r="D518" s="86"/>
      <c r="E518" s="415">
        <v>4.42</v>
      </c>
    </row>
    <row r="519" spans="1:5" ht="15" hidden="1">
      <c r="A519" s="172" t="s">
        <v>99</v>
      </c>
      <c r="B519" s="83" t="s">
        <v>100</v>
      </c>
      <c r="C519" s="80" t="s">
        <v>98</v>
      </c>
      <c r="D519" s="62"/>
      <c r="E519" s="415">
        <v>3.61</v>
      </c>
    </row>
    <row r="520" spans="1:5" ht="15.75" hidden="1" thickBot="1">
      <c r="A520" s="22" t="s">
        <v>101</v>
      </c>
      <c r="B520" s="23" t="s">
        <v>102</v>
      </c>
      <c r="C520" s="173" t="s">
        <v>98</v>
      </c>
      <c r="D520" s="174"/>
      <c r="E520" s="416">
        <v>0</v>
      </c>
    </row>
    <row r="521" ht="15" hidden="1"/>
    <row r="522" ht="15" hidden="1"/>
    <row r="523" ht="15" hidden="1"/>
    <row r="524" ht="15" hidden="1">
      <c r="B524" s="161"/>
    </row>
    <row r="525" spans="1:5" ht="15" hidden="1">
      <c r="A525" s="155"/>
      <c r="B525" s="155"/>
      <c r="C525" s="155"/>
      <c r="D525" s="155"/>
      <c r="E525" s="334"/>
    </row>
    <row r="526" spans="1:5" ht="15" hidden="1">
      <c r="A526" s="155"/>
      <c r="B526" s="155"/>
      <c r="C526" s="155"/>
      <c r="D526" s="155"/>
      <c r="E526" s="334"/>
    </row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spans="2:4" ht="15" hidden="1">
      <c r="B538" t="s">
        <v>144</v>
      </c>
      <c r="C538" t="s">
        <v>148</v>
      </c>
      <c r="D538" s="101" t="s">
        <v>145</v>
      </c>
    </row>
    <row r="539" ht="15" hidden="1">
      <c r="C539" s="108" t="s">
        <v>149</v>
      </c>
    </row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spans="1:5" ht="15" hidden="1">
      <c r="A547" s="87" t="s">
        <v>0</v>
      </c>
      <c r="B547" s="87"/>
      <c r="C547" s="87"/>
      <c r="D547" s="87"/>
      <c r="E547" s="334" t="s">
        <v>107</v>
      </c>
    </row>
    <row r="548" spans="1:5" ht="15" hidden="1">
      <c r="A548" s="87" t="s">
        <v>1</v>
      </c>
      <c r="B548" s="87"/>
      <c r="C548" s="87"/>
      <c r="D548" s="87" t="s">
        <v>133</v>
      </c>
      <c r="E548" s="373"/>
    </row>
    <row r="549" spans="1:5" ht="15" hidden="1">
      <c r="A549" s="87" t="s">
        <v>2</v>
      </c>
      <c r="B549" s="87"/>
      <c r="C549" s="87"/>
      <c r="D549" s="87" t="s">
        <v>122</v>
      </c>
      <c r="E549" s="374"/>
    </row>
    <row r="550" spans="1:5" ht="15" hidden="1">
      <c r="A550" s="87" t="s">
        <v>3</v>
      </c>
      <c r="B550" s="87"/>
      <c r="C550" s="87"/>
      <c r="D550" s="87" t="s">
        <v>123</v>
      </c>
      <c r="E550" s="373"/>
    </row>
    <row r="551" spans="1:5" ht="15" hidden="1">
      <c r="A551" s="87" t="s">
        <v>4</v>
      </c>
      <c r="B551" s="87"/>
      <c r="C551" s="87"/>
      <c r="D551" s="87" t="s">
        <v>124</v>
      </c>
      <c r="E551" s="373"/>
    </row>
    <row r="552" spans="1:5" ht="15" hidden="1">
      <c r="A552" s="107" t="s">
        <v>147</v>
      </c>
      <c r="B552" s="87"/>
      <c r="C552" s="87"/>
      <c r="D552" s="87"/>
      <c r="E552" s="373"/>
    </row>
    <row r="553" spans="1:5" ht="15" hidden="1">
      <c r="A553" s="87" t="s">
        <v>5</v>
      </c>
      <c r="B553" s="87"/>
      <c r="C553" s="87"/>
      <c r="D553" s="87" t="s">
        <v>125</v>
      </c>
      <c r="E553" s="373"/>
    </row>
    <row r="554" spans="1:5" ht="15" hidden="1">
      <c r="A554" s="1"/>
      <c r="B554" s="1"/>
      <c r="C554" s="1"/>
      <c r="D554" s="1"/>
      <c r="E554" s="316"/>
    </row>
    <row r="555" spans="1:4" ht="15.75" hidden="1">
      <c r="A555" s="96"/>
      <c r="B555" s="96" t="s">
        <v>176</v>
      </c>
      <c r="C555" s="2"/>
      <c r="D555" s="2"/>
    </row>
    <row r="556" spans="1:4" ht="15.75" hidden="1">
      <c r="A556" s="96"/>
      <c r="B556" s="96"/>
      <c r="C556" s="105">
        <v>41659</v>
      </c>
      <c r="D556" s="2"/>
    </row>
    <row r="557" spans="1:4" ht="15.75" hidden="1">
      <c r="A557" s="96"/>
      <c r="B557" s="96"/>
      <c r="C557" s="106" t="s">
        <v>146</v>
      </c>
      <c r="D557" s="2"/>
    </row>
    <row r="558" spans="1:5" ht="15" hidden="1">
      <c r="A558" s="2" t="s">
        <v>6</v>
      </c>
      <c r="B558" s="2"/>
      <c r="C558" s="2"/>
      <c r="D558" s="2"/>
      <c r="E558" s="376"/>
    </row>
    <row r="559" spans="1:5" ht="15" hidden="1">
      <c r="A559" s="1" t="s">
        <v>174</v>
      </c>
      <c r="B559" s="1"/>
      <c r="C559" s="1"/>
      <c r="D559" s="1"/>
      <c r="E559" s="316"/>
    </row>
    <row r="560" spans="1:5" ht="15" hidden="1">
      <c r="A560" s="1" t="s">
        <v>7</v>
      </c>
      <c r="B560" s="1"/>
      <c r="C560" s="1"/>
      <c r="D560" s="1"/>
      <c r="E560" s="316"/>
    </row>
    <row r="561" spans="1:5" ht="15.75" hidden="1" thickBot="1">
      <c r="A561" s="116" t="s">
        <v>157</v>
      </c>
      <c r="B561" s="116"/>
      <c r="C561" s="116"/>
      <c r="D561" s="116"/>
      <c r="E561" s="316"/>
    </row>
    <row r="562" spans="1:5" ht="15" hidden="1">
      <c r="A562" s="117" t="s">
        <v>8</v>
      </c>
      <c r="B562" s="118" t="s">
        <v>9</v>
      </c>
      <c r="C562" s="118" t="s">
        <v>10</v>
      </c>
      <c r="D562" s="118" t="s">
        <v>11</v>
      </c>
      <c r="E562" s="397" t="s">
        <v>12</v>
      </c>
    </row>
    <row r="563" spans="1:5" ht="15" hidden="1">
      <c r="A563" s="121">
        <v>1</v>
      </c>
      <c r="B563" s="24">
        <v>2</v>
      </c>
      <c r="C563" s="24">
        <v>3</v>
      </c>
      <c r="D563" s="24">
        <v>4</v>
      </c>
      <c r="E563" s="398">
        <v>5</v>
      </c>
    </row>
    <row r="564" spans="1:5" ht="15" hidden="1">
      <c r="A564" s="162" t="s">
        <v>13</v>
      </c>
      <c r="B564" s="26" t="s">
        <v>14</v>
      </c>
      <c r="C564" s="26"/>
      <c r="D564" s="26"/>
      <c r="E564" s="399"/>
    </row>
    <row r="565" spans="1:5" ht="17.25" hidden="1">
      <c r="A565" s="162" t="s">
        <v>15</v>
      </c>
      <c r="B565" s="88" t="s">
        <v>138</v>
      </c>
      <c r="C565" s="9" t="s">
        <v>59</v>
      </c>
      <c r="D565" s="163" t="s">
        <v>134</v>
      </c>
      <c r="E565" s="400" t="e">
        <f>E566+E567</f>
        <v>#REF!</v>
      </c>
    </row>
    <row r="566" spans="1:5" ht="18.75" hidden="1">
      <c r="A566" s="164" t="s">
        <v>16</v>
      </c>
      <c r="B566" s="24" t="s">
        <v>18</v>
      </c>
      <c r="C566" s="11" t="s">
        <v>59</v>
      </c>
      <c r="D566" s="77" t="s">
        <v>126</v>
      </c>
      <c r="E566" s="381">
        <v>4.57</v>
      </c>
    </row>
    <row r="567" spans="1:5" ht="33" hidden="1">
      <c r="A567" s="165" t="s">
        <v>17</v>
      </c>
      <c r="B567" s="104" t="s">
        <v>19</v>
      </c>
      <c r="C567" s="27" t="s">
        <v>59</v>
      </c>
      <c r="D567" s="28" t="s">
        <v>20</v>
      </c>
      <c r="E567" s="401" t="e">
        <f>0.28+((4325*E572+226*E580+106.1*E576+509*E584)/(44.84*1000))/10</f>
        <v>#REF!</v>
      </c>
    </row>
    <row r="568" spans="1:5" ht="15" hidden="1">
      <c r="A568" s="164" t="s">
        <v>21</v>
      </c>
      <c r="B568" s="30" t="s">
        <v>22</v>
      </c>
      <c r="C568" s="31"/>
      <c r="D568" s="33"/>
      <c r="E568" s="402"/>
    </row>
    <row r="569" spans="1:5" ht="15" hidden="1">
      <c r="A569" s="166" t="s">
        <v>23</v>
      </c>
      <c r="B569" s="48" t="s">
        <v>24</v>
      </c>
      <c r="C569" s="49"/>
      <c r="D569" s="49"/>
      <c r="E569" s="403"/>
    </row>
    <row r="570" spans="1:5" ht="15" hidden="1">
      <c r="A570" s="164" t="s">
        <v>25</v>
      </c>
      <c r="B570" s="24" t="s">
        <v>26</v>
      </c>
      <c r="C570" s="32" t="s">
        <v>41</v>
      </c>
      <c r="D570" s="24"/>
      <c r="E570" s="404" t="e">
        <f>#REF!</f>
        <v>#REF!</v>
      </c>
    </row>
    <row r="571" spans="1:5" ht="15" hidden="1">
      <c r="A571" s="164" t="s">
        <v>27</v>
      </c>
      <c r="B571" s="24" t="s">
        <v>28</v>
      </c>
      <c r="C571" s="5" t="s">
        <v>41</v>
      </c>
      <c r="D571" s="24"/>
      <c r="E571" s="398">
        <f>275.02+37.53</f>
        <v>312.54999999999995</v>
      </c>
    </row>
    <row r="572" spans="1:5" ht="15" hidden="1">
      <c r="A572" s="164" t="s">
        <v>29</v>
      </c>
      <c r="B572" s="38" t="s">
        <v>30</v>
      </c>
      <c r="C572" s="39" t="s">
        <v>41</v>
      </c>
      <c r="D572" s="24"/>
      <c r="E572" s="405" t="e">
        <f>E570+E571</f>
        <v>#REF!</v>
      </c>
    </row>
    <row r="573" spans="1:5" ht="15" hidden="1">
      <c r="A573" s="167" t="s">
        <v>31</v>
      </c>
      <c r="B573" s="41" t="s">
        <v>177</v>
      </c>
      <c r="C573" s="42"/>
      <c r="D573" s="42"/>
      <c r="E573" s="406"/>
    </row>
    <row r="574" spans="1:5" ht="15" hidden="1">
      <c r="A574" s="164" t="s">
        <v>35</v>
      </c>
      <c r="B574" s="24" t="s">
        <v>26</v>
      </c>
      <c r="C574" s="40" t="s">
        <v>33</v>
      </c>
      <c r="D574" s="24"/>
      <c r="E574" s="404"/>
    </row>
    <row r="575" spans="1:5" ht="15" hidden="1">
      <c r="A575" s="164" t="s">
        <v>36</v>
      </c>
      <c r="B575" s="24" t="s">
        <v>28</v>
      </c>
      <c r="C575" s="4" t="s">
        <v>33</v>
      </c>
      <c r="D575" s="24"/>
      <c r="E575" s="404"/>
    </row>
    <row r="576" spans="1:5" ht="15" hidden="1">
      <c r="A576" s="164" t="s">
        <v>37</v>
      </c>
      <c r="B576" s="24" t="s">
        <v>30</v>
      </c>
      <c r="C576" s="43" t="s">
        <v>33</v>
      </c>
      <c r="D576" s="24"/>
      <c r="E576" s="405">
        <v>602.46</v>
      </c>
    </row>
    <row r="577" spans="1:5" ht="15" hidden="1">
      <c r="A577" s="167" t="s">
        <v>31</v>
      </c>
      <c r="B577" s="41" t="s">
        <v>178</v>
      </c>
      <c r="C577" s="42"/>
      <c r="D577" s="42"/>
      <c r="E577" s="406"/>
    </row>
    <row r="578" spans="1:5" ht="15" hidden="1">
      <c r="A578" s="164" t="s">
        <v>35</v>
      </c>
      <c r="B578" s="24" t="s">
        <v>26</v>
      </c>
      <c r="C578" s="40" t="s">
        <v>33</v>
      </c>
      <c r="D578" s="24"/>
      <c r="E578" s="404"/>
    </row>
    <row r="579" spans="1:5" ht="15" hidden="1">
      <c r="A579" s="164" t="s">
        <v>36</v>
      </c>
      <c r="B579" s="24" t="s">
        <v>28</v>
      </c>
      <c r="C579" s="4" t="s">
        <v>33</v>
      </c>
      <c r="D579" s="24"/>
      <c r="E579" s="404"/>
    </row>
    <row r="580" spans="1:5" ht="15" hidden="1">
      <c r="A580" s="164" t="s">
        <v>37</v>
      </c>
      <c r="B580" s="24" t="s">
        <v>30</v>
      </c>
      <c r="C580" s="43" t="s">
        <v>33</v>
      </c>
      <c r="D580" s="24"/>
      <c r="E580" s="405">
        <v>447.78</v>
      </c>
    </row>
    <row r="581" spans="1:5" ht="15" hidden="1">
      <c r="A581" s="168" t="s">
        <v>34</v>
      </c>
      <c r="B581" s="45" t="s">
        <v>103</v>
      </c>
      <c r="C581" s="46"/>
      <c r="D581" s="46"/>
      <c r="E581" s="407"/>
    </row>
    <row r="582" spans="1:5" ht="15" hidden="1">
      <c r="A582" s="169" t="s">
        <v>38</v>
      </c>
      <c r="B582" s="44" t="s">
        <v>26</v>
      </c>
      <c r="C582" s="40" t="s">
        <v>33</v>
      </c>
      <c r="D582" s="24"/>
      <c r="E582" s="404" t="e">
        <f>#REF!</f>
        <v>#REF!</v>
      </c>
    </row>
    <row r="583" spans="1:5" ht="15" hidden="1">
      <c r="A583" s="169" t="s">
        <v>39</v>
      </c>
      <c r="B583" s="24" t="s">
        <v>28</v>
      </c>
      <c r="C583" s="4" t="s">
        <v>33</v>
      </c>
      <c r="D583" s="24"/>
      <c r="E583" s="398"/>
    </row>
    <row r="584" spans="1:5" ht="15" hidden="1">
      <c r="A584" s="21" t="s">
        <v>40</v>
      </c>
      <c r="B584" s="38" t="s">
        <v>30</v>
      </c>
      <c r="C584" s="43" t="s">
        <v>33</v>
      </c>
      <c r="D584" s="24"/>
      <c r="E584" s="405">
        <v>808.36</v>
      </c>
    </row>
    <row r="585" spans="1:5" ht="15" hidden="1">
      <c r="A585" s="170" t="s">
        <v>42</v>
      </c>
      <c r="B585" s="51" t="s">
        <v>43</v>
      </c>
      <c r="C585" s="52"/>
      <c r="D585" s="52"/>
      <c r="E585" s="408"/>
    </row>
    <row r="586" spans="1:5" ht="15" hidden="1">
      <c r="A586" s="121" t="s">
        <v>44</v>
      </c>
      <c r="B586" s="24" t="s">
        <v>104</v>
      </c>
      <c r="C586" s="24"/>
      <c r="D586" s="24"/>
      <c r="E586" s="409" t="s">
        <v>106</v>
      </c>
    </row>
    <row r="587" spans="1:5" ht="15" hidden="1">
      <c r="A587" s="121" t="s">
        <v>45</v>
      </c>
      <c r="B587" s="24" t="s">
        <v>105</v>
      </c>
      <c r="C587" s="11" t="s">
        <v>59</v>
      </c>
      <c r="D587" s="24"/>
      <c r="E587" s="398">
        <v>0</v>
      </c>
    </row>
    <row r="588" spans="1:5" ht="17.25" hidden="1">
      <c r="A588" s="171" t="s">
        <v>46</v>
      </c>
      <c r="B588" s="91" t="s">
        <v>127</v>
      </c>
      <c r="C588" s="94" t="s">
        <v>59</v>
      </c>
      <c r="D588" s="95" t="s">
        <v>136</v>
      </c>
      <c r="E588" s="417" t="e">
        <f>E589+E590</f>
        <v>#REF!</v>
      </c>
    </row>
    <row r="589" spans="1:5" ht="18.75" hidden="1">
      <c r="A589" s="121" t="s">
        <v>48</v>
      </c>
      <c r="B589" s="24" t="s">
        <v>49</v>
      </c>
      <c r="C589" s="53" t="s">
        <v>59</v>
      </c>
      <c r="D589" s="77" t="s">
        <v>128</v>
      </c>
      <c r="E589" s="404">
        <f>E566</f>
        <v>4.57</v>
      </c>
    </row>
    <row r="590" spans="1:5" ht="33" hidden="1">
      <c r="A590" s="165" t="s">
        <v>50</v>
      </c>
      <c r="B590" s="35" t="s">
        <v>51</v>
      </c>
      <c r="C590" s="27" t="s">
        <v>59</v>
      </c>
      <c r="D590" s="54" t="s">
        <v>20</v>
      </c>
      <c r="E590" s="411" t="e">
        <f>E567</f>
        <v>#REF!</v>
      </c>
    </row>
    <row r="591" spans="1:5" ht="15" hidden="1">
      <c r="A591" s="121" t="s">
        <v>52</v>
      </c>
      <c r="B591" s="55" t="s">
        <v>53</v>
      </c>
      <c r="C591" s="33"/>
      <c r="D591" s="33"/>
      <c r="E591" s="402"/>
    </row>
    <row r="592" spans="1:5" ht="15" hidden="1">
      <c r="A592" s="121" t="s">
        <v>54</v>
      </c>
      <c r="B592" s="24" t="s">
        <v>55</v>
      </c>
      <c r="C592" s="11" t="s">
        <v>56</v>
      </c>
      <c r="D592" s="24"/>
      <c r="E592" s="398">
        <v>33.57</v>
      </c>
    </row>
    <row r="593" spans="1:5" ht="15" hidden="1">
      <c r="A593" s="121" t="s">
        <v>57</v>
      </c>
      <c r="B593" s="24" t="s">
        <v>58</v>
      </c>
      <c r="C593" s="11" t="s">
        <v>59</v>
      </c>
      <c r="D593" s="56" t="s">
        <v>47</v>
      </c>
      <c r="E593" s="398"/>
    </row>
    <row r="594" spans="1:5" ht="15" hidden="1">
      <c r="A594" s="162" t="s">
        <v>60</v>
      </c>
      <c r="B594" s="559" t="s">
        <v>61</v>
      </c>
      <c r="C594" s="560"/>
      <c r="D594" s="560"/>
      <c r="E594" s="561"/>
    </row>
    <row r="595" spans="1:5" ht="17.25" hidden="1">
      <c r="A595" s="12" t="s">
        <v>62</v>
      </c>
      <c r="B595" s="16" t="s">
        <v>137</v>
      </c>
      <c r="C595" s="9" t="s">
        <v>59</v>
      </c>
      <c r="D595" s="95" t="s">
        <v>135</v>
      </c>
      <c r="E595" s="400" t="e">
        <f>E596+E597</f>
        <v>#REF!</v>
      </c>
    </row>
    <row r="596" spans="1:5" ht="18.75" hidden="1">
      <c r="A596" s="13" t="s">
        <v>63</v>
      </c>
      <c r="B596" s="14" t="s">
        <v>64</v>
      </c>
      <c r="C596" s="11" t="s">
        <v>59</v>
      </c>
      <c r="D596" s="77" t="s">
        <v>129</v>
      </c>
      <c r="E596" s="398">
        <v>2.39</v>
      </c>
    </row>
    <row r="597" spans="1:5" ht="18.75" hidden="1">
      <c r="A597" s="13" t="s">
        <v>65</v>
      </c>
      <c r="B597" s="15" t="s">
        <v>66</v>
      </c>
      <c r="C597" s="20"/>
      <c r="D597" s="89" t="s">
        <v>130</v>
      </c>
      <c r="E597" s="404" t="e">
        <f>0.39+(7.24*E565/37.6)</f>
        <v>#REF!</v>
      </c>
    </row>
    <row r="598" spans="1:5" ht="15" hidden="1">
      <c r="A598" s="12" t="s">
        <v>67</v>
      </c>
      <c r="B598" s="16" t="s">
        <v>68</v>
      </c>
      <c r="C598" s="9"/>
      <c r="D598" s="24"/>
      <c r="E598" s="398"/>
    </row>
    <row r="599" spans="1:5" ht="15" hidden="1">
      <c r="A599" s="12" t="s">
        <v>69</v>
      </c>
      <c r="B599" s="17" t="s">
        <v>55</v>
      </c>
      <c r="C599" s="10" t="s">
        <v>56</v>
      </c>
      <c r="D599" s="24"/>
      <c r="E599" s="398"/>
    </row>
    <row r="600" spans="1:5" ht="18.75" hidden="1">
      <c r="A600" s="12" t="s">
        <v>70</v>
      </c>
      <c r="B600" s="17" t="s">
        <v>71</v>
      </c>
      <c r="C600" s="11" t="s">
        <v>59</v>
      </c>
      <c r="D600" s="77" t="s">
        <v>131</v>
      </c>
      <c r="E600" s="398"/>
    </row>
    <row r="601" spans="1:5" ht="15" hidden="1">
      <c r="A601" s="172" t="s">
        <v>72</v>
      </c>
      <c r="B601" s="562" t="s">
        <v>73</v>
      </c>
      <c r="C601" s="563"/>
      <c r="D601" s="563"/>
      <c r="E601" s="564"/>
    </row>
    <row r="602" spans="1:5" ht="15" hidden="1">
      <c r="A602" s="557" t="s">
        <v>79</v>
      </c>
      <c r="B602" s="18" t="s">
        <v>74</v>
      </c>
      <c r="C602" s="11" t="s">
        <v>59</v>
      </c>
      <c r="D602" s="79" t="s">
        <v>106</v>
      </c>
      <c r="E602" s="412">
        <v>0.31</v>
      </c>
    </row>
    <row r="603" spans="1:5" ht="15" hidden="1">
      <c r="A603" s="558"/>
      <c r="B603" s="19" t="s">
        <v>75</v>
      </c>
      <c r="C603" s="53" t="s">
        <v>76</v>
      </c>
      <c r="D603" s="79" t="s">
        <v>106</v>
      </c>
      <c r="E603" s="412">
        <v>2.32</v>
      </c>
    </row>
    <row r="604" spans="1:5" ht="15.75" hidden="1" thickBot="1">
      <c r="A604" s="558"/>
      <c r="B604" s="19" t="s">
        <v>77</v>
      </c>
      <c r="C604" s="78" t="s">
        <v>78</v>
      </c>
      <c r="D604" s="79" t="s">
        <v>106</v>
      </c>
      <c r="E604" s="412">
        <v>46.02</v>
      </c>
    </row>
    <row r="605" spans="1:5" ht="15" hidden="1">
      <c r="A605" s="172" t="s">
        <v>80</v>
      </c>
      <c r="B605" s="82" t="s">
        <v>81</v>
      </c>
      <c r="C605" s="11" t="s">
        <v>59</v>
      </c>
      <c r="D605" s="62"/>
      <c r="E605" s="412">
        <v>0.12</v>
      </c>
    </row>
    <row r="606" spans="1:5" ht="15" hidden="1">
      <c r="A606" s="172" t="s">
        <v>82</v>
      </c>
      <c r="B606" s="82" t="s">
        <v>83</v>
      </c>
      <c r="C606" s="11" t="s">
        <v>59</v>
      </c>
      <c r="D606" s="62"/>
      <c r="E606" s="412">
        <v>-0.27</v>
      </c>
    </row>
    <row r="607" spans="1:5" ht="15" hidden="1">
      <c r="A607" s="172" t="s">
        <v>84</v>
      </c>
      <c r="B607" s="82" t="s">
        <v>179</v>
      </c>
      <c r="C607" s="11" t="s">
        <v>59</v>
      </c>
      <c r="D607" s="62"/>
      <c r="E607" s="413" t="e">
        <f>E565+E595+E605+E606+E602</f>
        <v>#REF!</v>
      </c>
    </row>
    <row r="608" spans="1:5" ht="15" hidden="1">
      <c r="A608" s="172" t="s">
        <v>85</v>
      </c>
      <c r="B608" s="82" t="s">
        <v>86</v>
      </c>
      <c r="C608" s="11" t="s">
        <v>59</v>
      </c>
      <c r="D608" s="62"/>
      <c r="E608" s="412">
        <v>0</v>
      </c>
    </row>
    <row r="609" spans="1:5" ht="15" hidden="1">
      <c r="A609" s="172" t="s">
        <v>87</v>
      </c>
      <c r="B609" s="82" t="s">
        <v>88</v>
      </c>
      <c r="C609" s="9" t="s">
        <v>59</v>
      </c>
      <c r="D609" s="84"/>
      <c r="E609" s="413" t="e">
        <f>E607</f>
        <v>#REF!</v>
      </c>
    </row>
    <row r="610" spans="1:5" ht="15" hidden="1">
      <c r="A610" s="172" t="s">
        <v>89</v>
      </c>
      <c r="B610" s="82" t="s">
        <v>90</v>
      </c>
      <c r="C610" s="9" t="s">
        <v>59</v>
      </c>
      <c r="D610" s="84"/>
      <c r="E610" s="414" t="e">
        <f>E609*1.09</f>
        <v>#REF!</v>
      </c>
    </row>
    <row r="611" spans="1:5" ht="15" hidden="1">
      <c r="A611" s="172" t="s">
        <v>91</v>
      </c>
      <c r="B611" s="82" t="s">
        <v>92</v>
      </c>
      <c r="C611" s="9" t="s">
        <v>59</v>
      </c>
      <c r="D611" s="84"/>
      <c r="E611" s="414" t="e">
        <f>E512</f>
        <v>#REF!</v>
      </c>
    </row>
    <row r="612" spans="1:5" ht="15" hidden="1">
      <c r="A612" s="172" t="s">
        <v>93</v>
      </c>
      <c r="B612" s="82" t="s">
        <v>94</v>
      </c>
      <c r="C612" s="81" t="s">
        <v>95</v>
      </c>
      <c r="D612" s="84"/>
      <c r="E612" s="414" t="e">
        <f>(E607/E611)*100-100</f>
        <v>#REF!</v>
      </c>
    </row>
    <row r="613" spans="1:5" ht="15" hidden="1">
      <c r="A613" s="172" t="s">
        <v>96</v>
      </c>
      <c r="B613" s="83" t="s">
        <v>97</v>
      </c>
      <c r="C613" s="85" t="s">
        <v>98</v>
      </c>
      <c r="D613" s="86"/>
      <c r="E613" s="415">
        <v>5.86778</v>
      </c>
    </row>
    <row r="614" spans="1:5" ht="15" hidden="1">
      <c r="A614" s="172" t="s">
        <v>99</v>
      </c>
      <c r="B614" s="83" t="s">
        <v>100</v>
      </c>
      <c r="C614" s="80" t="s">
        <v>98</v>
      </c>
      <c r="D614" s="62"/>
      <c r="E614" s="415">
        <v>5.069941</v>
      </c>
    </row>
    <row r="615" spans="1:5" ht="15.75" hidden="1" thickBot="1">
      <c r="A615" s="22" t="s">
        <v>101</v>
      </c>
      <c r="B615" s="23" t="s">
        <v>102</v>
      </c>
      <c r="C615" s="173" t="s">
        <v>98</v>
      </c>
      <c r="D615" s="174"/>
      <c r="E615" s="416">
        <v>0</v>
      </c>
    </row>
    <row r="616" ht="15" hidden="1"/>
    <row r="617" ht="15" hidden="1"/>
    <row r="618" ht="15" hidden="1"/>
    <row r="619" ht="15" hidden="1">
      <c r="B619" s="161"/>
    </row>
    <row r="620" spans="1:5" ht="15" hidden="1">
      <c r="A620" s="155"/>
      <c r="B620" s="155"/>
      <c r="C620" s="155"/>
      <c r="D620" s="155"/>
      <c r="E620" s="334"/>
    </row>
    <row r="621" spans="1:5" ht="15" hidden="1">
      <c r="A621" s="155"/>
      <c r="B621" s="155"/>
      <c r="C621" s="155"/>
      <c r="D621" s="155"/>
      <c r="E621" s="334"/>
    </row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spans="2:4" ht="15" hidden="1">
      <c r="B633" t="s">
        <v>144</v>
      </c>
      <c r="C633" t="s">
        <v>148</v>
      </c>
      <c r="D633" s="101" t="s">
        <v>145</v>
      </c>
    </row>
    <row r="634" ht="15" hidden="1">
      <c r="C634" s="108" t="s">
        <v>149</v>
      </c>
    </row>
    <row r="635" ht="15" hidden="1"/>
    <row r="636" ht="15" hidden="1"/>
    <row r="637" ht="15" hidden="1"/>
    <row r="638" spans="1:5" ht="15" hidden="1">
      <c r="A638" s="87" t="s">
        <v>0</v>
      </c>
      <c r="B638" s="87"/>
      <c r="C638" s="87"/>
      <c r="D638" s="87"/>
      <c r="E638" s="334" t="s">
        <v>107</v>
      </c>
    </row>
    <row r="639" spans="1:5" ht="15" hidden="1">
      <c r="A639" s="87" t="s">
        <v>1</v>
      </c>
      <c r="B639" s="87"/>
      <c r="C639" s="87"/>
      <c r="D639" s="87" t="s">
        <v>133</v>
      </c>
      <c r="E639" s="373"/>
    </row>
    <row r="640" spans="1:5" ht="15" hidden="1">
      <c r="A640" s="87" t="s">
        <v>2</v>
      </c>
      <c r="B640" s="87"/>
      <c r="C640" s="87"/>
      <c r="D640" s="87" t="s">
        <v>122</v>
      </c>
      <c r="E640" s="374"/>
    </row>
    <row r="641" spans="1:5" ht="15" hidden="1">
      <c r="A641" s="87" t="s">
        <v>3</v>
      </c>
      <c r="B641" s="87"/>
      <c r="C641" s="87"/>
      <c r="D641" s="87" t="s">
        <v>123</v>
      </c>
      <c r="E641" s="373"/>
    </row>
    <row r="642" spans="1:5" ht="15" hidden="1">
      <c r="A642" s="87" t="s">
        <v>4</v>
      </c>
      <c r="B642" s="87"/>
      <c r="C642" s="87"/>
      <c r="D642" s="87" t="s">
        <v>124</v>
      </c>
      <c r="E642" s="373"/>
    </row>
    <row r="643" spans="1:5" ht="15" hidden="1">
      <c r="A643" s="107" t="s">
        <v>147</v>
      </c>
      <c r="B643" s="87"/>
      <c r="C643" s="87"/>
      <c r="D643" s="87"/>
      <c r="E643" s="373"/>
    </row>
    <row r="644" spans="1:5" ht="15" hidden="1">
      <c r="A644" s="87" t="s">
        <v>5</v>
      </c>
      <c r="B644" s="87"/>
      <c r="C644" s="87"/>
      <c r="D644" s="87" t="s">
        <v>125</v>
      </c>
      <c r="E644" s="373"/>
    </row>
    <row r="645" spans="1:5" ht="15" hidden="1">
      <c r="A645" s="1"/>
      <c r="B645" s="1"/>
      <c r="C645" s="1"/>
      <c r="D645" s="1"/>
      <c r="E645" s="316"/>
    </row>
    <row r="646" spans="1:4" ht="15.75" hidden="1">
      <c r="A646" s="96"/>
      <c r="B646" s="96" t="s">
        <v>180</v>
      </c>
      <c r="C646" s="2"/>
      <c r="D646" s="2"/>
    </row>
    <row r="647" spans="1:4" ht="15.75" hidden="1">
      <c r="A647" s="96"/>
      <c r="B647" s="96"/>
      <c r="C647" s="105">
        <v>41690</v>
      </c>
      <c r="D647" s="2"/>
    </row>
    <row r="648" spans="1:4" ht="15.75" hidden="1">
      <c r="A648" s="96"/>
      <c r="B648" s="96"/>
      <c r="C648" s="106" t="s">
        <v>146</v>
      </c>
      <c r="D648" s="2"/>
    </row>
    <row r="649" spans="1:5" ht="15" hidden="1">
      <c r="A649" s="2" t="s">
        <v>6</v>
      </c>
      <c r="B649" s="2"/>
      <c r="C649" s="2"/>
      <c r="D649" s="2"/>
      <c r="E649" s="376"/>
    </row>
    <row r="650" spans="1:5" ht="15" hidden="1">
      <c r="A650" s="1" t="s">
        <v>174</v>
      </c>
      <c r="B650" s="1"/>
      <c r="C650" s="1"/>
      <c r="D650" s="1"/>
      <c r="E650" s="316"/>
    </row>
    <row r="651" spans="1:5" ht="15" hidden="1">
      <c r="A651" s="1" t="s">
        <v>7</v>
      </c>
      <c r="B651" s="1"/>
      <c r="C651" s="1"/>
      <c r="D651" s="1"/>
      <c r="E651" s="316"/>
    </row>
    <row r="652" spans="1:5" ht="15.75" hidden="1" thickBot="1">
      <c r="A652" s="116" t="s">
        <v>157</v>
      </c>
      <c r="B652" s="116"/>
      <c r="C652" s="116"/>
      <c r="D652" s="116"/>
      <c r="E652" s="316"/>
    </row>
    <row r="653" spans="1:5" ht="15" hidden="1">
      <c r="A653" s="117" t="s">
        <v>8</v>
      </c>
      <c r="B653" s="118" t="s">
        <v>9</v>
      </c>
      <c r="C653" s="118" t="s">
        <v>10</v>
      </c>
      <c r="D653" s="118" t="s">
        <v>11</v>
      </c>
      <c r="E653" s="397" t="s">
        <v>12</v>
      </c>
    </row>
    <row r="654" spans="1:5" ht="15" hidden="1">
      <c r="A654" s="121">
        <v>1</v>
      </c>
      <c r="B654" s="24">
        <v>2</v>
      </c>
      <c r="C654" s="24">
        <v>3</v>
      </c>
      <c r="D654" s="24">
        <v>4</v>
      </c>
      <c r="E654" s="398">
        <v>5</v>
      </c>
    </row>
    <row r="655" spans="1:5" ht="15" hidden="1">
      <c r="A655" s="162" t="s">
        <v>13</v>
      </c>
      <c r="B655" s="26" t="s">
        <v>14</v>
      </c>
      <c r="C655" s="26"/>
      <c r="D655" s="26"/>
      <c r="E655" s="399"/>
    </row>
    <row r="656" spans="1:5" ht="17.25" hidden="1">
      <c r="A656" s="162" t="s">
        <v>15</v>
      </c>
      <c r="B656" s="88" t="s">
        <v>138</v>
      </c>
      <c r="C656" s="9" t="s">
        <v>59</v>
      </c>
      <c r="D656" s="163" t="s">
        <v>134</v>
      </c>
      <c r="E656" s="400" t="e">
        <f>E657+E658</f>
        <v>#REF!</v>
      </c>
    </row>
    <row r="657" spans="1:5" ht="18.75" hidden="1">
      <c r="A657" s="164" t="s">
        <v>16</v>
      </c>
      <c r="B657" s="24" t="s">
        <v>18</v>
      </c>
      <c r="C657" s="11" t="s">
        <v>59</v>
      </c>
      <c r="D657" s="77" t="s">
        <v>126</v>
      </c>
      <c r="E657" s="381">
        <v>4.57</v>
      </c>
    </row>
    <row r="658" spans="1:5" ht="33" hidden="1">
      <c r="A658" s="165" t="s">
        <v>17</v>
      </c>
      <c r="B658" s="104" t="s">
        <v>19</v>
      </c>
      <c r="C658" s="27" t="s">
        <v>59</v>
      </c>
      <c r="D658" s="28" t="s">
        <v>20</v>
      </c>
      <c r="E658" s="401" t="e">
        <f>0.28+((4325*E663+226*E671+106.1*E667+509*E675)/(44.84*1000))/10</f>
        <v>#REF!</v>
      </c>
    </row>
    <row r="659" spans="1:5" ht="15" hidden="1">
      <c r="A659" s="164" t="s">
        <v>21</v>
      </c>
      <c r="B659" s="30" t="s">
        <v>22</v>
      </c>
      <c r="C659" s="31"/>
      <c r="D659" s="33"/>
      <c r="E659" s="402"/>
    </row>
    <row r="660" spans="1:5" ht="15" hidden="1">
      <c r="A660" s="166" t="s">
        <v>23</v>
      </c>
      <c r="B660" s="48" t="s">
        <v>24</v>
      </c>
      <c r="C660" s="49"/>
      <c r="D660" s="49"/>
      <c r="E660" s="403"/>
    </row>
    <row r="661" spans="1:5" ht="15" hidden="1">
      <c r="A661" s="164" t="s">
        <v>25</v>
      </c>
      <c r="B661" s="24" t="s">
        <v>26</v>
      </c>
      <c r="C661" s="32" t="s">
        <v>41</v>
      </c>
      <c r="D661" s="24"/>
      <c r="E661" s="404" t="e">
        <f>#REF!</f>
        <v>#REF!</v>
      </c>
    </row>
    <row r="662" spans="1:5" ht="15" hidden="1">
      <c r="A662" s="164" t="s">
        <v>27</v>
      </c>
      <c r="B662" s="24" t="s">
        <v>28</v>
      </c>
      <c r="C662" s="5" t="s">
        <v>41</v>
      </c>
      <c r="D662" s="24"/>
      <c r="E662" s="398">
        <v>313.23</v>
      </c>
    </row>
    <row r="663" spans="1:5" ht="15" hidden="1">
      <c r="A663" s="164" t="s">
        <v>29</v>
      </c>
      <c r="B663" s="38" t="s">
        <v>30</v>
      </c>
      <c r="C663" s="39" t="s">
        <v>41</v>
      </c>
      <c r="D663" s="24"/>
      <c r="E663" s="405" t="e">
        <f>E661+E662</f>
        <v>#REF!</v>
      </c>
    </row>
    <row r="664" spans="1:5" ht="15" hidden="1">
      <c r="A664" s="167" t="s">
        <v>31</v>
      </c>
      <c r="B664" s="41" t="s">
        <v>177</v>
      </c>
      <c r="C664" s="42"/>
      <c r="D664" s="42"/>
      <c r="E664" s="406"/>
    </row>
    <row r="665" spans="1:5" ht="15" hidden="1">
      <c r="A665" s="164" t="s">
        <v>35</v>
      </c>
      <c r="B665" s="24" t="s">
        <v>26</v>
      </c>
      <c r="C665" s="40" t="s">
        <v>33</v>
      </c>
      <c r="D665" s="24"/>
      <c r="E665" s="404"/>
    </row>
    <row r="666" spans="1:5" ht="15" hidden="1">
      <c r="A666" s="164" t="s">
        <v>36</v>
      </c>
      <c r="B666" s="24" t="s">
        <v>28</v>
      </c>
      <c r="C666" s="4" t="s">
        <v>33</v>
      </c>
      <c r="D666" s="24"/>
      <c r="E666" s="404"/>
    </row>
    <row r="667" spans="1:5" ht="15" hidden="1">
      <c r="A667" s="164" t="s">
        <v>37</v>
      </c>
      <c r="B667" s="24" t="s">
        <v>30</v>
      </c>
      <c r="C667" s="43" t="s">
        <v>33</v>
      </c>
      <c r="D667" s="24"/>
      <c r="E667" s="405">
        <v>600.55</v>
      </c>
    </row>
    <row r="668" spans="1:5" ht="15" hidden="1">
      <c r="A668" s="167" t="s">
        <v>31</v>
      </c>
      <c r="B668" s="41" t="s">
        <v>178</v>
      </c>
      <c r="C668" s="42"/>
      <c r="D668" s="42"/>
      <c r="E668" s="406"/>
    </row>
    <row r="669" spans="1:5" ht="15" hidden="1">
      <c r="A669" s="164" t="s">
        <v>35</v>
      </c>
      <c r="B669" s="24" t="s">
        <v>26</v>
      </c>
      <c r="C669" s="40" t="s">
        <v>33</v>
      </c>
      <c r="D669" s="24"/>
      <c r="E669" s="404"/>
    </row>
    <row r="670" spans="1:5" ht="15" hidden="1">
      <c r="A670" s="164" t="s">
        <v>36</v>
      </c>
      <c r="B670" s="24" t="s">
        <v>28</v>
      </c>
      <c r="C670" s="4" t="s">
        <v>33</v>
      </c>
      <c r="D670" s="24"/>
      <c r="E670" s="404"/>
    </row>
    <row r="671" spans="1:5" ht="15" hidden="1">
      <c r="A671" s="164" t="s">
        <v>37</v>
      </c>
      <c r="B671" s="24" t="s">
        <v>30</v>
      </c>
      <c r="C671" s="43" t="s">
        <v>33</v>
      </c>
      <c r="D671" s="24"/>
      <c r="E671" s="405">
        <v>507.94</v>
      </c>
    </row>
    <row r="672" spans="1:5" ht="15" hidden="1">
      <c r="A672" s="168" t="s">
        <v>34</v>
      </c>
      <c r="B672" s="45" t="s">
        <v>103</v>
      </c>
      <c r="C672" s="46"/>
      <c r="D672" s="46"/>
      <c r="E672" s="407"/>
    </row>
    <row r="673" spans="1:5" ht="15" hidden="1">
      <c r="A673" s="169" t="s">
        <v>38</v>
      </c>
      <c r="B673" s="44" t="s">
        <v>26</v>
      </c>
      <c r="C673" s="40" t="s">
        <v>33</v>
      </c>
      <c r="D673" s="24"/>
      <c r="E673" s="404" t="e">
        <f>#REF!</f>
        <v>#REF!</v>
      </c>
    </row>
    <row r="674" spans="1:5" ht="15" hidden="1">
      <c r="A674" s="169" t="s">
        <v>39</v>
      </c>
      <c r="B674" s="24" t="s">
        <v>28</v>
      </c>
      <c r="C674" s="4" t="s">
        <v>33</v>
      </c>
      <c r="D674" s="24"/>
      <c r="E674" s="398"/>
    </row>
    <row r="675" spans="1:5" ht="15" hidden="1">
      <c r="A675" s="21" t="s">
        <v>40</v>
      </c>
      <c r="B675" s="38" t="s">
        <v>30</v>
      </c>
      <c r="C675" s="43" t="s">
        <v>33</v>
      </c>
      <c r="D675" s="24"/>
      <c r="E675" s="405">
        <v>795.81</v>
      </c>
    </row>
    <row r="676" spans="1:5" ht="15" hidden="1">
      <c r="A676" s="170" t="s">
        <v>42</v>
      </c>
      <c r="B676" s="51" t="s">
        <v>43</v>
      </c>
      <c r="C676" s="52"/>
      <c r="D676" s="52"/>
      <c r="E676" s="408"/>
    </row>
    <row r="677" spans="1:5" ht="15" hidden="1">
      <c r="A677" s="121" t="s">
        <v>44</v>
      </c>
      <c r="B677" s="24" t="s">
        <v>104</v>
      </c>
      <c r="C677" s="24"/>
      <c r="D677" s="24"/>
      <c r="E677" s="409" t="s">
        <v>106</v>
      </c>
    </row>
    <row r="678" spans="1:5" ht="15" hidden="1">
      <c r="A678" s="121" t="s">
        <v>45</v>
      </c>
      <c r="B678" s="24" t="s">
        <v>105</v>
      </c>
      <c r="C678" s="11" t="s">
        <v>59</v>
      </c>
      <c r="D678" s="24"/>
      <c r="E678" s="398">
        <v>0</v>
      </c>
    </row>
    <row r="679" spans="1:5" ht="17.25" hidden="1">
      <c r="A679" s="171" t="s">
        <v>46</v>
      </c>
      <c r="B679" s="91" t="s">
        <v>127</v>
      </c>
      <c r="C679" s="94" t="s">
        <v>59</v>
      </c>
      <c r="D679" s="95" t="s">
        <v>136</v>
      </c>
      <c r="E679" s="417" t="e">
        <f>E680+E681</f>
        <v>#REF!</v>
      </c>
    </row>
    <row r="680" spans="1:5" ht="18.75" hidden="1">
      <c r="A680" s="121" t="s">
        <v>48</v>
      </c>
      <c r="B680" s="24" t="s">
        <v>49</v>
      </c>
      <c r="C680" s="53" t="s">
        <v>59</v>
      </c>
      <c r="D680" s="77" t="s">
        <v>128</v>
      </c>
      <c r="E680" s="404">
        <f>E657</f>
        <v>4.57</v>
      </c>
    </row>
    <row r="681" spans="1:5" ht="33" hidden="1">
      <c r="A681" s="165" t="s">
        <v>50</v>
      </c>
      <c r="B681" s="35" t="s">
        <v>51</v>
      </c>
      <c r="C681" s="27" t="s">
        <v>59</v>
      </c>
      <c r="D681" s="54" t="s">
        <v>20</v>
      </c>
      <c r="E681" s="411" t="e">
        <f>E658</f>
        <v>#REF!</v>
      </c>
    </row>
    <row r="682" spans="1:5" ht="15" hidden="1">
      <c r="A682" s="121" t="s">
        <v>52</v>
      </c>
      <c r="B682" s="55" t="s">
        <v>53</v>
      </c>
      <c r="C682" s="33"/>
      <c r="D682" s="33"/>
      <c r="E682" s="402"/>
    </row>
    <row r="683" spans="1:5" ht="15" hidden="1">
      <c r="A683" s="121" t="s">
        <v>54</v>
      </c>
      <c r="B683" s="24" t="s">
        <v>55</v>
      </c>
      <c r="C683" s="11" t="s">
        <v>56</v>
      </c>
      <c r="D683" s="24"/>
      <c r="E683" s="398">
        <v>33.57</v>
      </c>
    </row>
    <row r="684" spans="1:5" ht="15" hidden="1">
      <c r="A684" s="121" t="s">
        <v>57</v>
      </c>
      <c r="B684" s="24" t="s">
        <v>58</v>
      </c>
      <c r="C684" s="11" t="s">
        <v>59</v>
      </c>
      <c r="D684" s="56" t="s">
        <v>47</v>
      </c>
      <c r="E684" s="398"/>
    </row>
    <row r="685" spans="1:5" ht="15" hidden="1">
      <c r="A685" s="162" t="s">
        <v>60</v>
      </c>
      <c r="B685" s="559" t="s">
        <v>61</v>
      </c>
      <c r="C685" s="560"/>
      <c r="D685" s="560"/>
      <c r="E685" s="561"/>
    </row>
    <row r="686" spans="1:5" ht="17.25" hidden="1">
      <c r="A686" s="12" t="s">
        <v>62</v>
      </c>
      <c r="B686" s="16" t="s">
        <v>137</v>
      </c>
      <c r="C686" s="9" t="s">
        <v>59</v>
      </c>
      <c r="D686" s="95" t="s">
        <v>135</v>
      </c>
      <c r="E686" s="400" t="e">
        <f>E687+E688</f>
        <v>#REF!</v>
      </c>
    </row>
    <row r="687" spans="1:5" ht="18.75" hidden="1">
      <c r="A687" s="13" t="s">
        <v>63</v>
      </c>
      <c r="B687" s="14" t="s">
        <v>64</v>
      </c>
      <c r="C687" s="11" t="s">
        <v>59</v>
      </c>
      <c r="D687" s="77" t="s">
        <v>129</v>
      </c>
      <c r="E687" s="398">
        <v>2.39</v>
      </c>
    </row>
    <row r="688" spans="1:5" ht="18.75" hidden="1">
      <c r="A688" s="13" t="s">
        <v>65</v>
      </c>
      <c r="B688" s="15" t="s">
        <v>66</v>
      </c>
      <c r="C688" s="20"/>
      <c r="D688" s="89" t="s">
        <v>130</v>
      </c>
      <c r="E688" s="404" t="e">
        <f>0.39+(7.24*E656/37.6)</f>
        <v>#REF!</v>
      </c>
    </row>
    <row r="689" spans="1:5" ht="15" hidden="1">
      <c r="A689" s="12" t="s">
        <v>67</v>
      </c>
      <c r="B689" s="16" t="s">
        <v>68</v>
      </c>
      <c r="C689" s="9"/>
      <c r="D689" s="24"/>
      <c r="E689" s="398"/>
    </row>
    <row r="690" spans="1:5" ht="15" hidden="1">
      <c r="A690" s="12" t="s">
        <v>69</v>
      </c>
      <c r="B690" s="17" t="s">
        <v>55</v>
      </c>
      <c r="C690" s="10" t="s">
        <v>56</v>
      </c>
      <c r="D690" s="24"/>
      <c r="E690" s="398"/>
    </row>
    <row r="691" spans="1:5" ht="18.75" hidden="1">
      <c r="A691" s="12" t="s">
        <v>70</v>
      </c>
      <c r="B691" s="17" t="s">
        <v>71</v>
      </c>
      <c r="C691" s="11" t="s">
        <v>59</v>
      </c>
      <c r="D691" s="77" t="s">
        <v>131</v>
      </c>
      <c r="E691" s="398"/>
    </row>
    <row r="692" spans="1:5" ht="15" hidden="1">
      <c r="A692" s="172" t="s">
        <v>72</v>
      </c>
      <c r="B692" s="562" t="s">
        <v>73</v>
      </c>
      <c r="C692" s="563"/>
      <c r="D692" s="563"/>
      <c r="E692" s="564"/>
    </row>
    <row r="693" spans="1:5" ht="15" hidden="1">
      <c r="A693" s="557" t="s">
        <v>79</v>
      </c>
      <c r="B693" s="18" t="s">
        <v>74</v>
      </c>
      <c r="C693" s="11" t="s">
        <v>59</v>
      </c>
      <c r="D693" s="79" t="s">
        <v>106</v>
      </c>
      <c r="E693" s="412">
        <v>0.31</v>
      </c>
    </row>
    <row r="694" spans="1:5" ht="15" hidden="1">
      <c r="A694" s="558"/>
      <c r="B694" s="19" t="s">
        <v>75</v>
      </c>
      <c r="C694" s="53" t="s">
        <v>76</v>
      </c>
      <c r="D694" s="79" t="s">
        <v>106</v>
      </c>
      <c r="E694" s="412">
        <v>2.32</v>
      </c>
    </row>
    <row r="695" spans="1:5" ht="15.75" hidden="1" thickBot="1">
      <c r="A695" s="558"/>
      <c r="B695" s="19" t="s">
        <v>77</v>
      </c>
      <c r="C695" s="78" t="s">
        <v>78</v>
      </c>
      <c r="D695" s="79" t="s">
        <v>106</v>
      </c>
      <c r="E695" s="412">
        <v>46.02</v>
      </c>
    </row>
    <row r="696" spans="1:5" ht="15" hidden="1">
      <c r="A696" s="172" t="s">
        <v>80</v>
      </c>
      <c r="B696" s="82" t="s">
        <v>81</v>
      </c>
      <c r="C696" s="11" t="s">
        <v>59</v>
      </c>
      <c r="D696" s="62"/>
      <c r="E696" s="412">
        <v>0.12</v>
      </c>
    </row>
    <row r="697" spans="1:5" ht="15" hidden="1">
      <c r="A697" s="172" t="s">
        <v>82</v>
      </c>
      <c r="B697" s="82" t="s">
        <v>83</v>
      </c>
      <c r="C697" s="11" t="s">
        <v>59</v>
      </c>
      <c r="D697" s="62"/>
      <c r="E697" s="412">
        <v>-0.27</v>
      </c>
    </row>
    <row r="698" spans="1:5" ht="15" hidden="1">
      <c r="A698" s="172" t="s">
        <v>84</v>
      </c>
      <c r="B698" s="82" t="s">
        <v>179</v>
      </c>
      <c r="C698" s="11" t="s">
        <v>59</v>
      </c>
      <c r="D698" s="62"/>
      <c r="E698" s="413" t="e">
        <f>E656+E686+E696+E697+E693</f>
        <v>#REF!</v>
      </c>
    </row>
    <row r="699" spans="1:5" ht="15" hidden="1">
      <c r="A699" s="172" t="s">
        <v>85</v>
      </c>
      <c r="B699" s="82" t="s">
        <v>86</v>
      </c>
      <c r="C699" s="11" t="s">
        <v>59</v>
      </c>
      <c r="D699" s="62"/>
      <c r="E699" s="412">
        <v>0</v>
      </c>
    </row>
    <row r="700" spans="1:5" ht="15" hidden="1">
      <c r="A700" s="172" t="s">
        <v>87</v>
      </c>
      <c r="B700" s="82" t="s">
        <v>88</v>
      </c>
      <c r="C700" s="9" t="s">
        <v>59</v>
      </c>
      <c r="D700" s="84"/>
      <c r="E700" s="413" t="e">
        <f>E698</f>
        <v>#REF!</v>
      </c>
    </row>
    <row r="701" spans="1:5" ht="15" hidden="1">
      <c r="A701" s="172" t="s">
        <v>89</v>
      </c>
      <c r="B701" s="82" t="s">
        <v>90</v>
      </c>
      <c r="C701" s="9" t="s">
        <v>59</v>
      </c>
      <c r="D701" s="84"/>
      <c r="E701" s="414" t="e">
        <f>E700*1.09</f>
        <v>#REF!</v>
      </c>
    </row>
    <row r="702" spans="1:5" ht="15" hidden="1">
      <c r="A702" s="172" t="s">
        <v>91</v>
      </c>
      <c r="B702" s="82" t="s">
        <v>92</v>
      </c>
      <c r="C702" s="9" t="s">
        <v>59</v>
      </c>
      <c r="D702" s="84"/>
      <c r="E702" s="414" t="e">
        <f>E609</f>
        <v>#REF!</v>
      </c>
    </row>
    <row r="703" spans="1:5" ht="15" hidden="1">
      <c r="A703" s="172" t="s">
        <v>93</v>
      </c>
      <c r="B703" s="82" t="s">
        <v>94</v>
      </c>
      <c r="C703" s="81" t="s">
        <v>95</v>
      </c>
      <c r="D703" s="84"/>
      <c r="E703" s="414" t="e">
        <f>(E698/E702)*100-100</f>
        <v>#REF!</v>
      </c>
    </row>
    <row r="704" spans="1:5" ht="15" hidden="1">
      <c r="A704" s="172" t="s">
        <v>96</v>
      </c>
      <c r="B704" s="83" t="s">
        <v>97</v>
      </c>
      <c r="C704" s="85" t="s">
        <v>98</v>
      </c>
      <c r="D704" s="86"/>
      <c r="E704" s="415">
        <v>8.22</v>
      </c>
    </row>
    <row r="705" spans="1:5" ht="15" hidden="1">
      <c r="A705" s="172" t="s">
        <v>99</v>
      </c>
      <c r="B705" s="83" t="s">
        <v>100</v>
      </c>
      <c r="C705" s="80" t="s">
        <v>98</v>
      </c>
      <c r="D705" s="62"/>
      <c r="E705" s="415">
        <v>6.98</v>
      </c>
    </row>
    <row r="706" spans="1:5" ht="15.75" hidden="1" thickBot="1">
      <c r="A706" s="22" t="s">
        <v>101</v>
      </c>
      <c r="B706" s="23" t="s">
        <v>102</v>
      </c>
      <c r="C706" s="173" t="s">
        <v>98</v>
      </c>
      <c r="D706" s="174"/>
      <c r="E706" s="416">
        <v>0</v>
      </c>
    </row>
    <row r="707" ht="15" hidden="1"/>
    <row r="708" ht="15" hidden="1"/>
    <row r="709" ht="15" hidden="1"/>
    <row r="710" ht="15" hidden="1">
      <c r="B710" s="161"/>
    </row>
    <row r="711" spans="1:5" ht="15" hidden="1">
      <c r="A711" s="155"/>
      <c r="B711" s="155"/>
      <c r="C711" s="155"/>
      <c r="D711" s="155"/>
      <c r="E711" s="334"/>
    </row>
    <row r="712" spans="1:5" ht="15" hidden="1">
      <c r="A712" s="155"/>
      <c r="B712" s="155"/>
      <c r="C712" s="155"/>
      <c r="D712" s="155"/>
      <c r="E712" s="334"/>
    </row>
    <row r="713" ht="15" hidden="1"/>
    <row r="714" ht="15" hidden="1"/>
    <row r="715" ht="15" hidden="1"/>
    <row r="716" ht="15" hidden="1"/>
    <row r="717" ht="15" hidden="1"/>
    <row r="718" ht="15" hidden="1"/>
    <row r="719" ht="15" hidden="1"/>
    <row r="720" ht="15" hidden="1"/>
    <row r="721" ht="15" hidden="1"/>
    <row r="722" ht="15" hidden="1"/>
    <row r="723" ht="15" hidden="1"/>
    <row r="724" spans="2:4" ht="15" hidden="1">
      <c r="B724" t="s">
        <v>144</v>
      </c>
      <c r="C724" t="s">
        <v>148</v>
      </c>
      <c r="D724" s="101" t="s">
        <v>145</v>
      </c>
    </row>
    <row r="725" ht="15" hidden="1">
      <c r="C725" s="108" t="s">
        <v>149</v>
      </c>
    </row>
    <row r="726" ht="15" hidden="1"/>
    <row r="727" ht="15" hidden="1"/>
    <row r="728" ht="15" hidden="1"/>
    <row r="729" spans="1:5" ht="15" hidden="1">
      <c r="A729" s="87" t="s">
        <v>0</v>
      </c>
      <c r="B729" s="87"/>
      <c r="C729" s="87"/>
      <c r="D729" s="87"/>
      <c r="E729" s="334" t="s">
        <v>107</v>
      </c>
    </row>
    <row r="730" spans="1:5" ht="15" hidden="1">
      <c r="A730" s="87" t="s">
        <v>1</v>
      </c>
      <c r="B730" s="87"/>
      <c r="C730" s="87"/>
      <c r="D730" s="87" t="s">
        <v>133</v>
      </c>
      <c r="E730" s="373"/>
    </row>
    <row r="731" spans="1:5" ht="15" hidden="1">
      <c r="A731" s="87" t="s">
        <v>2</v>
      </c>
      <c r="B731" s="87"/>
      <c r="C731" s="87"/>
      <c r="D731" s="87" t="s">
        <v>122</v>
      </c>
      <c r="E731" s="374"/>
    </row>
    <row r="732" spans="1:5" ht="15" hidden="1">
      <c r="A732" s="87" t="s">
        <v>3</v>
      </c>
      <c r="B732" s="87"/>
      <c r="C732" s="87"/>
      <c r="D732" s="87" t="s">
        <v>123</v>
      </c>
      <c r="E732" s="373"/>
    </row>
    <row r="733" spans="1:5" ht="15" hidden="1">
      <c r="A733" s="87" t="s">
        <v>4</v>
      </c>
      <c r="B733" s="87"/>
      <c r="C733" s="87"/>
      <c r="D733" s="87" t="s">
        <v>124</v>
      </c>
      <c r="E733" s="373"/>
    </row>
    <row r="734" spans="1:5" ht="15" hidden="1">
      <c r="A734" s="107" t="s">
        <v>147</v>
      </c>
      <c r="B734" s="87"/>
      <c r="C734" s="87"/>
      <c r="D734" s="87"/>
      <c r="E734" s="373"/>
    </row>
    <row r="735" spans="1:5" ht="15" hidden="1">
      <c r="A735" s="87" t="s">
        <v>5</v>
      </c>
      <c r="B735" s="87"/>
      <c r="C735" s="87"/>
      <c r="D735" s="87" t="s">
        <v>125</v>
      </c>
      <c r="E735" s="373"/>
    </row>
    <row r="736" spans="1:5" ht="15" hidden="1">
      <c r="A736" s="1"/>
      <c r="B736" s="1"/>
      <c r="C736" s="1"/>
      <c r="D736" s="1"/>
      <c r="E736" s="316"/>
    </row>
    <row r="737" spans="1:4" ht="15.75" hidden="1">
      <c r="A737" s="96"/>
      <c r="B737" s="96" t="s">
        <v>182</v>
      </c>
      <c r="C737" s="2"/>
      <c r="D737" s="2"/>
    </row>
    <row r="738" spans="1:4" ht="15.75" hidden="1">
      <c r="A738" s="96"/>
      <c r="B738" s="96"/>
      <c r="C738" s="105">
        <v>41718</v>
      </c>
      <c r="D738" s="2"/>
    </row>
    <row r="739" spans="1:4" ht="15.75" hidden="1">
      <c r="A739" s="96"/>
      <c r="B739" s="96"/>
      <c r="C739" s="106" t="s">
        <v>146</v>
      </c>
      <c r="D739" s="2"/>
    </row>
    <row r="740" spans="1:5" ht="15" hidden="1">
      <c r="A740" s="2" t="s">
        <v>6</v>
      </c>
      <c r="B740" s="2"/>
      <c r="C740" s="2"/>
      <c r="D740" s="2"/>
      <c r="E740" s="376"/>
    </row>
    <row r="741" spans="1:5" ht="15" hidden="1">
      <c r="A741" s="1" t="s">
        <v>174</v>
      </c>
      <c r="B741" s="1"/>
      <c r="C741" s="1"/>
      <c r="D741" s="1"/>
      <c r="E741" s="316"/>
    </row>
    <row r="742" spans="1:5" ht="15" hidden="1">
      <c r="A742" s="1" t="s">
        <v>7</v>
      </c>
      <c r="B742" s="1"/>
      <c r="C742" s="1"/>
      <c r="D742" s="1"/>
      <c r="E742" s="316"/>
    </row>
    <row r="743" spans="1:5" ht="15.75" hidden="1" thickBot="1">
      <c r="A743" s="116" t="s">
        <v>157</v>
      </c>
      <c r="B743" s="116"/>
      <c r="C743" s="116"/>
      <c r="D743" s="116"/>
      <c r="E743" s="316"/>
    </row>
    <row r="744" spans="1:5" ht="15" hidden="1">
      <c r="A744" s="117" t="s">
        <v>8</v>
      </c>
      <c r="B744" s="118" t="s">
        <v>9</v>
      </c>
      <c r="C744" s="118" t="s">
        <v>10</v>
      </c>
      <c r="D744" s="118" t="s">
        <v>11</v>
      </c>
      <c r="E744" s="397" t="s">
        <v>12</v>
      </c>
    </row>
    <row r="745" spans="1:5" ht="15" hidden="1">
      <c r="A745" s="121">
        <v>1</v>
      </c>
      <c r="B745" s="24">
        <v>2</v>
      </c>
      <c r="C745" s="24">
        <v>3</v>
      </c>
      <c r="D745" s="24">
        <v>4</v>
      </c>
      <c r="E745" s="398">
        <v>5</v>
      </c>
    </row>
    <row r="746" spans="1:5" ht="15" hidden="1">
      <c r="A746" s="162" t="s">
        <v>13</v>
      </c>
      <c r="B746" s="26" t="s">
        <v>14</v>
      </c>
      <c r="C746" s="26"/>
      <c r="D746" s="26"/>
      <c r="E746" s="399"/>
    </row>
    <row r="747" spans="1:5" ht="17.25" hidden="1">
      <c r="A747" s="162" t="s">
        <v>15</v>
      </c>
      <c r="B747" s="88" t="s">
        <v>138</v>
      </c>
      <c r="C747" s="9" t="s">
        <v>59</v>
      </c>
      <c r="D747" s="163" t="s">
        <v>134</v>
      </c>
      <c r="E747" s="400" t="e">
        <f>E748+E749</f>
        <v>#REF!</v>
      </c>
    </row>
    <row r="748" spans="1:5" ht="18.75" hidden="1">
      <c r="A748" s="164" t="s">
        <v>16</v>
      </c>
      <c r="B748" s="24" t="s">
        <v>18</v>
      </c>
      <c r="C748" s="11" t="s">
        <v>59</v>
      </c>
      <c r="D748" s="77" t="s">
        <v>126</v>
      </c>
      <c r="E748" s="381">
        <v>4.57</v>
      </c>
    </row>
    <row r="749" spans="1:5" ht="33" hidden="1">
      <c r="A749" s="165" t="s">
        <v>17</v>
      </c>
      <c r="B749" s="104" t="s">
        <v>19</v>
      </c>
      <c r="C749" s="27" t="s">
        <v>59</v>
      </c>
      <c r="D749" s="28" t="s">
        <v>20</v>
      </c>
      <c r="E749" s="401" t="e">
        <f>0.28+((4325*E754+226*E762+106.1*E758+509*E766)/(44.84*1000))/10</f>
        <v>#REF!</v>
      </c>
    </row>
    <row r="750" spans="1:5" ht="15" hidden="1">
      <c r="A750" s="164" t="s">
        <v>21</v>
      </c>
      <c r="B750" s="30" t="s">
        <v>22</v>
      </c>
      <c r="C750" s="31"/>
      <c r="D750" s="33"/>
      <c r="E750" s="402"/>
    </row>
    <row r="751" spans="1:5" ht="15" hidden="1">
      <c r="A751" s="166" t="s">
        <v>23</v>
      </c>
      <c r="B751" s="48" t="s">
        <v>24</v>
      </c>
      <c r="C751" s="49"/>
      <c r="D751" s="49"/>
      <c r="E751" s="403"/>
    </row>
    <row r="752" spans="1:5" ht="15" hidden="1">
      <c r="A752" s="164" t="s">
        <v>25</v>
      </c>
      <c r="B752" s="24" t="s">
        <v>26</v>
      </c>
      <c r="C752" s="32" t="s">
        <v>41</v>
      </c>
      <c r="D752" s="24"/>
      <c r="E752" s="404" t="e">
        <f>#REF!</f>
        <v>#REF!</v>
      </c>
    </row>
    <row r="753" spans="1:5" ht="15" hidden="1">
      <c r="A753" s="164" t="s">
        <v>27</v>
      </c>
      <c r="B753" s="24" t="s">
        <v>28</v>
      </c>
      <c r="C753" s="5" t="s">
        <v>41</v>
      </c>
      <c r="D753" s="24"/>
      <c r="E753" s="398">
        <v>313.23</v>
      </c>
    </row>
    <row r="754" spans="1:5" ht="15" hidden="1">
      <c r="A754" s="164" t="s">
        <v>29</v>
      </c>
      <c r="B754" s="38" t="s">
        <v>30</v>
      </c>
      <c r="C754" s="39" t="s">
        <v>41</v>
      </c>
      <c r="D754" s="24"/>
      <c r="E754" s="405" t="e">
        <f>E752+E753</f>
        <v>#REF!</v>
      </c>
    </row>
    <row r="755" spans="1:5" ht="15" hidden="1">
      <c r="A755" s="167" t="s">
        <v>31</v>
      </c>
      <c r="B755" s="41" t="s">
        <v>177</v>
      </c>
      <c r="C755" s="42"/>
      <c r="D755" s="42"/>
      <c r="E755" s="406"/>
    </row>
    <row r="756" spans="1:5" ht="15" hidden="1">
      <c r="A756" s="164" t="s">
        <v>35</v>
      </c>
      <c r="B756" s="24" t="s">
        <v>26</v>
      </c>
      <c r="C756" s="40" t="s">
        <v>33</v>
      </c>
      <c r="D756" s="24"/>
      <c r="E756" s="404"/>
    </row>
    <row r="757" spans="1:5" ht="15" hidden="1">
      <c r="A757" s="164" t="s">
        <v>36</v>
      </c>
      <c r="B757" s="24" t="s">
        <v>28</v>
      </c>
      <c r="C757" s="4" t="s">
        <v>33</v>
      </c>
      <c r="D757" s="24"/>
      <c r="E757" s="404"/>
    </row>
    <row r="758" spans="1:5" ht="15" hidden="1">
      <c r="A758" s="164" t="s">
        <v>37</v>
      </c>
      <c r="B758" s="24" t="s">
        <v>30</v>
      </c>
      <c r="C758" s="43" t="s">
        <v>33</v>
      </c>
      <c r="D758" s="24"/>
      <c r="E758" s="405">
        <v>642.87</v>
      </c>
    </row>
    <row r="759" spans="1:5" ht="15" hidden="1">
      <c r="A759" s="167" t="s">
        <v>31</v>
      </c>
      <c r="B759" s="41" t="s">
        <v>178</v>
      </c>
      <c r="C759" s="42"/>
      <c r="D759" s="42"/>
      <c r="E759" s="406"/>
    </row>
    <row r="760" spans="1:5" ht="15" hidden="1">
      <c r="A760" s="164" t="s">
        <v>35</v>
      </c>
      <c r="B760" s="24" t="s">
        <v>26</v>
      </c>
      <c r="C760" s="40" t="s">
        <v>33</v>
      </c>
      <c r="D760" s="24"/>
      <c r="E760" s="404"/>
    </row>
    <row r="761" spans="1:5" ht="15" hidden="1">
      <c r="A761" s="164" t="s">
        <v>36</v>
      </c>
      <c r="B761" s="24" t="s">
        <v>28</v>
      </c>
      <c r="C761" s="4" t="s">
        <v>33</v>
      </c>
      <c r="D761" s="24"/>
      <c r="E761" s="404"/>
    </row>
    <row r="762" spans="1:5" ht="15" hidden="1">
      <c r="A762" s="164" t="s">
        <v>37</v>
      </c>
      <c r="B762" s="24" t="s">
        <v>30</v>
      </c>
      <c r="C762" s="43" t="s">
        <v>33</v>
      </c>
      <c r="D762" s="24"/>
      <c r="E762" s="405">
        <v>572.22</v>
      </c>
    </row>
    <row r="763" spans="1:5" ht="15" hidden="1">
      <c r="A763" s="168" t="s">
        <v>34</v>
      </c>
      <c r="B763" s="45" t="s">
        <v>103</v>
      </c>
      <c r="C763" s="46"/>
      <c r="D763" s="46"/>
      <c r="E763" s="407"/>
    </row>
    <row r="764" spans="1:5" ht="15" hidden="1">
      <c r="A764" s="169" t="s">
        <v>38</v>
      </c>
      <c r="B764" s="44" t="s">
        <v>26</v>
      </c>
      <c r="C764" s="40" t="s">
        <v>33</v>
      </c>
      <c r="D764" s="24"/>
      <c r="E764" s="404" t="e">
        <f>#REF!</f>
        <v>#REF!</v>
      </c>
    </row>
    <row r="765" spans="1:5" ht="15" hidden="1">
      <c r="A765" s="169" t="s">
        <v>39</v>
      </c>
      <c r="B765" s="24" t="s">
        <v>28</v>
      </c>
      <c r="C765" s="4" t="s">
        <v>33</v>
      </c>
      <c r="D765" s="24"/>
      <c r="E765" s="398"/>
    </row>
    <row r="766" spans="1:5" ht="15" hidden="1">
      <c r="A766" s="21" t="s">
        <v>40</v>
      </c>
      <c r="B766" s="38" t="s">
        <v>30</v>
      </c>
      <c r="C766" s="43" t="s">
        <v>33</v>
      </c>
      <c r="D766" s="24"/>
      <c r="E766" s="405">
        <v>782.01</v>
      </c>
    </row>
    <row r="767" spans="1:5" ht="15" hidden="1">
      <c r="A767" s="170" t="s">
        <v>42</v>
      </c>
      <c r="B767" s="51" t="s">
        <v>43</v>
      </c>
      <c r="C767" s="52"/>
      <c r="D767" s="52"/>
      <c r="E767" s="408"/>
    </row>
    <row r="768" spans="1:5" ht="15" hidden="1">
      <c r="A768" s="121" t="s">
        <v>44</v>
      </c>
      <c r="B768" s="24" t="s">
        <v>104</v>
      </c>
      <c r="C768" s="24"/>
      <c r="D768" s="24"/>
      <c r="E768" s="409" t="s">
        <v>106</v>
      </c>
    </row>
    <row r="769" spans="1:5" ht="15" hidden="1">
      <c r="A769" s="121" t="s">
        <v>45</v>
      </c>
      <c r="B769" s="24" t="s">
        <v>105</v>
      </c>
      <c r="C769" s="11" t="s">
        <v>59</v>
      </c>
      <c r="D769" s="24"/>
      <c r="E769" s="398">
        <v>0</v>
      </c>
    </row>
    <row r="770" spans="1:5" ht="17.25" hidden="1">
      <c r="A770" s="171" t="s">
        <v>46</v>
      </c>
      <c r="B770" s="91" t="s">
        <v>127</v>
      </c>
      <c r="C770" s="94" t="s">
        <v>59</v>
      </c>
      <c r="D770" s="95" t="s">
        <v>136</v>
      </c>
      <c r="E770" s="417" t="e">
        <f>E771+E772</f>
        <v>#REF!</v>
      </c>
    </row>
    <row r="771" spans="1:5" ht="18.75" hidden="1">
      <c r="A771" s="121" t="s">
        <v>48</v>
      </c>
      <c r="B771" s="24" t="s">
        <v>49</v>
      </c>
      <c r="C771" s="53" t="s">
        <v>59</v>
      </c>
      <c r="D771" s="77" t="s">
        <v>128</v>
      </c>
      <c r="E771" s="404">
        <f>E748</f>
        <v>4.57</v>
      </c>
    </row>
    <row r="772" spans="1:5" ht="33" hidden="1">
      <c r="A772" s="165" t="s">
        <v>50</v>
      </c>
      <c r="B772" s="35" t="s">
        <v>51</v>
      </c>
      <c r="C772" s="27" t="s">
        <v>59</v>
      </c>
      <c r="D772" s="54" t="s">
        <v>20</v>
      </c>
      <c r="E772" s="411" t="e">
        <f>E749</f>
        <v>#REF!</v>
      </c>
    </row>
    <row r="773" spans="1:5" ht="15" hidden="1">
      <c r="A773" s="121" t="s">
        <v>52</v>
      </c>
      <c r="B773" s="55" t="s">
        <v>53</v>
      </c>
      <c r="C773" s="33"/>
      <c r="D773" s="33"/>
      <c r="E773" s="402"/>
    </row>
    <row r="774" spans="1:5" ht="15" hidden="1">
      <c r="A774" s="121" t="s">
        <v>54</v>
      </c>
      <c r="B774" s="24" t="s">
        <v>55</v>
      </c>
      <c r="C774" s="11" t="s">
        <v>56</v>
      </c>
      <c r="D774" s="24"/>
      <c r="E774" s="398">
        <v>33.57</v>
      </c>
    </row>
    <row r="775" spans="1:5" ht="15" hidden="1">
      <c r="A775" s="121" t="s">
        <v>57</v>
      </c>
      <c r="B775" s="24" t="s">
        <v>58</v>
      </c>
      <c r="C775" s="11" t="s">
        <v>59</v>
      </c>
      <c r="D775" s="56" t="s">
        <v>47</v>
      </c>
      <c r="E775" s="398"/>
    </row>
    <row r="776" spans="1:5" ht="15" hidden="1">
      <c r="A776" s="162" t="s">
        <v>60</v>
      </c>
      <c r="B776" s="559" t="s">
        <v>61</v>
      </c>
      <c r="C776" s="560"/>
      <c r="D776" s="560"/>
      <c r="E776" s="561"/>
    </row>
    <row r="777" spans="1:5" ht="17.25" hidden="1">
      <c r="A777" s="12" t="s">
        <v>62</v>
      </c>
      <c r="B777" s="16" t="s">
        <v>137</v>
      </c>
      <c r="C777" s="9" t="s">
        <v>59</v>
      </c>
      <c r="D777" s="95" t="s">
        <v>135</v>
      </c>
      <c r="E777" s="400" t="e">
        <f>E778+E779</f>
        <v>#REF!</v>
      </c>
    </row>
    <row r="778" spans="1:5" ht="18.75" hidden="1">
      <c r="A778" s="13" t="s">
        <v>63</v>
      </c>
      <c r="B778" s="14" t="s">
        <v>64</v>
      </c>
      <c r="C778" s="11" t="s">
        <v>59</v>
      </c>
      <c r="D778" s="77" t="s">
        <v>129</v>
      </c>
      <c r="E778" s="398">
        <v>2.39</v>
      </c>
    </row>
    <row r="779" spans="1:5" ht="18.75" hidden="1">
      <c r="A779" s="13" t="s">
        <v>65</v>
      </c>
      <c r="B779" s="15" t="s">
        <v>66</v>
      </c>
      <c r="C779" s="20"/>
      <c r="D779" s="89" t="s">
        <v>130</v>
      </c>
      <c r="E779" s="404" t="e">
        <f>0.39+(7.24*E747/37.6)</f>
        <v>#REF!</v>
      </c>
    </row>
    <row r="780" spans="1:5" ht="15" hidden="1">
      <c r="A780" s="12" t="s">
        <v>67</v>
      </c>
      <c r="B780" s="16" t="s">
        <v>68</v>
      </c>
      <c r="C780" s="9"/>
      <c r="D780" s="24"/>
      <c r="E780" s="398"/>
    </row>
    <row r="781" spans="1:5" ht="15" hidden="1">
      <c r="A781" s="12" t="s">
        <v>69</v>
      </c>
      <c r="B781" s="17" t="s">
        <v>55</v>
      </c>
      <c r="C781" s="10" t="s">
        <v>56</v>
      </c>
      <c r="D781" s="24"/>
      <c r="E781" s="398"/>
    </row>
    <row r="782" spans="1:5" ht="18.75" hidden="1">
      <c r="A782" s="12" t="s">
        <v>70</v>
      </c>
      <c r="B782" s="17" t="s">
        <v>71</v>
      </c>
      <c r="C782" s="11" t="s">
        <v>59</v>
      </c>
      <c r="D782" s="77" t="s">
        <v>131</v>
      </c>
      <c r="E782" s="398"/>
    </row>
    <row r="783" spans="1:5" ht="15" hidden="1">
      <c r="A783" s="172" t="s">
        <v>72</v>
      </c>
      <c r="B783" s="562" t="s">
        <v>73</v>
      </c>
      <c r="C783" s="563"/>
      <c r="D783" s="563"/>
      <c r="E783" s="564"/>
    </row>
    <row r="784" spans="1:5" ht="15" hidden="1">
      <c r="A784" s="557" t="s">
        <v>79</v>
      </c>
      <c r="B784" s="18" t="s">
        <v>74</v>
      </c>
      <c r="C784" s="11" t="s">
        <v>59</v>
      </c>
      <c r="D784" s="79" t="s">
        <v>106</v>
      </c>
      <c r="E784" s="412">
        <v>0.31</v>
      </c>
    </row>
    <row r="785" spans="1:5" ht="15" hidden="1">
      <c r="A785" s="558"/>
      <c r="B785" s="19" t="s">
        <v>75</v>
      </c>
      <c r="C785" s="53" t="s">
        <v>76</v>
      </c>
      <c r="D785" s="79" t="s">
        <v>106</v>
      </c>
      <c r="E785" s="412">
        <v>2.32</v>
      </c>
    </row>
    <row r="786" spans="1:5" ht="15.75" hidden="1" thickBot="1">
      <c r="A786" s="558"/>
      <c r="B786" s="19" t="s">
        <v>77</v>
      </c>
      <c r="C786" s="78" t="s">
        <v>78</v>
      </c>
      <c r="D786" s="79" t="s">
        <v>106</v>
      </c>
      <c r="E786" s="412">
        <v>46.02</v>
      </c>
    </row>
    <row r="787" spans="1:5" ht="15" hidden="1">
      <c r="A787" s="172" t="s">
        <v>80</v>
      </c>
      <c r="B787" s="82" t="s">
        <v>81</v>
      </c>
      <c r="C787" s="11" t="s">
        <v>59</v>
      </c>
      <c r="D787" s="62"/>
      <c r="E787" s="412">
        <v>0.12</v>
      </c>
    </row>
    <row r="788" spans="1:5" ht="15" hidden="1">
      <c r="A788" s="172" t="s">
        <v>82</v>
      </c>
      <c r="B788" s="82" t="s">
        <v>83</v>
      </c>
      <c r="C788" s="11" t="s">
        <v>59</v>
      </c>
      <c r="D788" s="62"/>
      <c r="E788" s="412">
        <v>-0.27</v>
      </c>
    </row>
    <row r="789" spans="1:5" ht="15" hidden="1">
      <c r="A789" s="172" t="s">
        <v>84</v>
      </c>
      <c r="B789" s="82" t="s">
        <v>179</v>
      </c>
      <c r="C789" s="11" t="s">
        <v>59</v>
      </c>
      <c r="D789" s="62"/>
      <c r="E789" s="413">
        <f>20.9+6.8+0.31+0.12+-0.27</f>
        <v>27.86</v>
      </c>
    </row>
    <row r="790" spans="1:5" ht="15" hidden="1">
      <c r="A790" s="172" t="s">
        <v>85</v>
      </c>
      <c r="B790" s="82" t="s">
        <v>86</v>
      </c>
      <c r="C790" s="11" t="s">
        <v>59</v>
      </c>
      <c r="D790" s="62"/>
      <c r="E790" s="412">
        <v>0</v>
      </c>
    </row>
    <row r="791" spans="1:5" ht="15" hidden="1">
      <c r="A791" s="172" t="s">
        <v>87</v>
      </c>
      <c r="B791" s="82" t="s">
        <v>88</v>
      </c>
      <c r="C791" s="9" t="s">
        <v>59</v>
      </c>
      <c r="D791" s="84"/>
      <c r="E791" s="413">
        <f>E789</f>
        <v>27.86</v>
      </c>
    </row>
    <row r="792" spans="1:5" ht="15" hidden="1">
      <c r="A792" s="172" t="s">
        <v>89</v>
      </c>
      <c r="B792" s="82" t="s">
        <v>90</v>
      </c>
      <c r="C792" s="9" t="s">
        <v>59</v>
      </c>
      <c r="D792" s="84"/>
      <c r="E792" s="414">
        <f>E791*1.09</f>
        <v>30.3674</v>
      </c>
    </row>
    <row r="793" spans="1:5" ht="15" hidden="1">
      <c r="A793" s="172" t="s">
        <v>91</v>
      </c>
      <c r="B793" s="82" t="s">
        <v>92</v>
      </c>
      <c r="C793" s="9" t="s">
        <v>59</v>
      </c>
      <c r="D793" s="84"/>
      <c r="E793" s="414" t="e">
        <f>E700</f>
        <v>#REF!</v>
      </c>
    </row>
    <row r="794" spans="1:5" ht="15" hidden="1">
      <c r="A794" s="172" t="s">
        <v>93</v>
      </c>
      <c r="B794" s="82" t="s">
        <v>94</v>
      </c>
      <c r="C794" s="81" t="s">
        <v>95</v>
      </c>
      <c r="D794" s="84"/>
      <c r="E794" s="414" t="e">
        <f>(E789/E793)*100-100</f>
        <v>#REF!</v>
      </c>
    </row>
    <row r="795" spans="1:5" ht="15" hidden="1">
      <c r="A795" s="172" t="s">
        <v>96</v>
      </c>
      <c r="B795" s="83" t="s">
        <v>97</v>
      </c>
      <c r="C795" s="85" t="s">
        <v>98</v>
      </c>
      <c r="D795" s="86"/>
      <c r="E795" s="415">
        <v>5.68</v>
      </c>
    </row>
    <row r="796" spans="1:5" ht="15" hidden="1">
      <c r="A796" s="172" t="s">
        <v>99</v>
      </c>
      <c r="B796" s="83" t="s">
        <v>100</v>
      </c>
      <c r="C796" s="80" t="s">
        <v>98</v>
      </c>
      <c r="D796" s="62"/>
      <c r="E796" s="415">
        <v>5.26</v>
      </c>
    </row>
    <row r="797" spans="1:5" ht="15.75" hidden="1" thickBot="1">
      <c r="A797" s="22" t="s">
        <v>101</v>
      </c>
      <c r="B797" s="23" t="s">
        <v>102</v>
      </c>
      <c r="C797" s="173" t="s">
        <v>98</v>
      </c>
      <c r="D797" s="174"/>
      <c r="E797" s="416">
        <v>0</v>
      </c>
    </row>
    <row r="798" ht="15" hidden="1"/>
    <row r="799" ht="15" hidden="1"/>
    <row r="800" ht="15" hidden="1"/>
    <row r="801" ht="15" hidden="1">
      <c r="B801" s="161"/>
    </row>
    <row r="802" spans="1:5" ht="15" hidden="1">
      <c r="A802" s="155"/>
      <c r="B802" s="155"/>
      <c r="C802" s="155"/>
      <c r="D802" s="155"/>
      <c r="E802" s="334"/>
    </row>
    <row r="803" spans="1:5" ht="15" hidden="1">
      <c r="A803" s="155"/>
      <c r="B803" s="155"/>
      <c r="C803" s="155"/>
      <c r="D803" s="155"/>
      <c r="E803" s="334"/>
    </row>
    <row r="804" ht="15" hidden="1"/>
    <row r="805" ht="15" hidden="1"/>
    <row r="806" ht="15" hidden="1"/>
    <row r="807" ht="15" hidden="1"/>
    <row r="808" ht="15" hidden="1"/>
    <row r="809" ht="15" hidden="1"/>
    <row r="810" ht="15" hidden="1"/>
    <row r="811" ht="15" hidden="1"/>
    <row r="812" ht="15" hidden="1"/>
    <row r="813" ht="15" hidden="1"/>
    <row r="814" ht="15" hidden="1"/>
    <row r="815" spans="2:4" ht="15" hidden="1">
      <c r="B815" t="s">
        <v>144</v>
      </c>
      <c r="C815" t="s">
        <v>148</v>
      </c>
      <c r="D815" s="101" t="s">
        <v>145</v>
      </c>
    </row>
    <row r="816" ht="15" hidden="1">
      <c r="C816" s="108" t="s">
        <v>149</v>
      </c>
    </row>
    <row r="817" ht="15" hidden="1"/>
    <row r="818" ht="15" hidden="1"/>
    <row r="819" ht="15" hidden="1"/>
    <row r="820" spans="1:5" ht="15" hidden="1">
      <c r="A820" s="87" t="s">
        <v>0</v>
      </c>
      <c r="B820" s="87"/>
      <c r="C820" s="87"/>
      <c r="D820" s="87"/>
      <c r="E820" s="334" t="s">
        <v>107</v>
      </c>
    </row>
    <row r="821" spans="1:5" ht="15" hidden="1">
      <c r="A821" s="87" t="s">
        <v>1</v>
      </c>
      <c r="B821" s="87"/>
      <c r="C821" s="87"/>
      <c r="D821" s="87" t="s">
        <v>133</v>
      </c>
      <c r="E821" s="373"/>
    </row>
    <row r="822" spans="1:5" ht="15" hidden="1">
      <c r="A822" s="87" t="s">
        <v>2</v>
      </c>
      <c r="B822" s="87"/>
      <c r="C822" s="87"/>
      <c r="D822" s="87" t="s">
        <v>122</v>
      </c>
      <c r="E822" s="374"/>
    </row>
    <row r="823" spans="1:5" ht="15" hidden="1">
      <c r="A823" s="87" t="s">
        <v>3</v>
      </c>
      <c r="B823" s="87"/>
      <c r="C823" s="87"/>
      <c r="D823" s="87" t="s">
        <v>123</v>
      </c>
      <c r="E823" s="373"/>
    </row>
    <row r="824" spans="1:5" ht="15" hidden="1">
      <c r="A824" s="87" t="s">
        <v>4</v>
      </c>
      <c r="B824" s="87"/>
      <c r="C824" s="87"/>
      <c r="D824" s="87" t="s">
        <v>124</v>
      </c>
      <c r="E824" s="373"/>
    </row>
    <row r="825" spans="1:5" ht="15" hidden="1">
      <c r="A825" s="107" t="s">
        <v>147</v>
      </c>
      <c r="B825" s="87"/>
      <c r="C825" s="87"/>
      <c r="D825" s="87"/>
      <c r="E825" s="373"/>
    </row>
    <row r="826" spans="1:5" ht="15" hidden="1">
      <c r="A826" s="87" t="s">
        <v>5</v>
      </c>
      <c r="B826" s="87"/>
      <c r="C826" s="87"/>
      <c r="D826" s="87" t="s">
        <v>125</v>
      </c>
      <c r="E826" s="373"/>
    </row>
    <row r="827" spans="1:5" ht="15" hidden="1">
      <c r="A827" s="1"/>
      <c r="B827" s="1"/>
      <c r="C827" s="1"/>
      <c r="D827" s="1"/>
      <c r="E827" s="316"/>
    </row>
    <row r="828" spans="1:4" ht="15.75" hidden="1">
      <c r="A828" s="96"/>
      <c r="B828" s="96" t="s">
        <v>187</v>
      </c>
      <c r="C828" s="2"/>
      <c r="D828" s="2"/>
    </row>
    <row r="829" spans="1:4" ht="15.75" hidden="1">
      <c r="A829" s="96"/>
      <c r="B829" s="96"/>
      <c r="C829" s="105">
        <v>41754</v>
      </c>
      <c r="D829" s="2"/>
    </row>
    <row r="830" spans="1:4" ht="15.75" hidden="1">
      <c r="A830" s="96"/>
      <c r="B830" s="96"/>
      <c r="C830" s="106" t="s">
        <v>146</v>
      </c>
      <c r="D830" s="2"/>
    </row>
    <row r="831" spans="1:5" ht="15" hidden="1">
      <c r="A831" s="2" t="s">
        <v>6</v>
      </c>
      <c r="B831" s="2"/>
      <c r="C831" s="2"/>
      <c r="D831" s="2"/>
      <c r="E831" s="376"/>
    </row>
    <row r="832" spans="1:5" ht="15" hidden="1">
      <c r="A832" s="1" t="s">
        <v>174</v>
      </c>
      <c r="B832" s="1"/>
      <c r="C832" s="1"/>
      <c r="D832" s="1"/>
      <c r="E832" s="316"/>
    </row>
    <row r="833" spans="1:5" ht="15" hidden="1">
      <c r="A833" s="1" t="s">
        <v>7</v>
      </c>
      <c r="B833" s="1"/>
      <c r="C833" s="1"/>
      <c r="D833" s="1"/>
      <c r="E833" s="316"/>
    </row>
    <row r="834" spans="1:5" ht="15.75" hidden="1" thickBot="1">
      <c r="A834" s="177" t="s">
        <v>191</v>
      </c>
      <c r="B834" s="177"/>
      <c r="C834" s="177"/>
      <c r="D834" s="177"/>
      <c r="E834" s="418"/>
    </row>
    <row r="835" spans="1:5" ht="15" hidden="1">
      <c r="A835" s="117" t="s">
        <v>8</v>
      </c>
      <c r="B835" s="118" t="s">
        <v>9</v>
      </c>
      <c r="C835" s="118" t="s">
        <v>10</v>
      </c>
      <c r="D835" s="118" t="s">
        <v>11</v>
      </c>
      <c r="E835" s="397" t="s">
        <v>12</v>
      </c>
    </row>
    <row r="836" spans="1:5" ht="15" hidden="1">
      <c r="A836" s="121">
        <v>1</v>
      </c>
      <c r="B836" s="24">
        <v>2</v>
      </c>
      <c r="C836" s="24">
        <v>3</v>
      </c>
      <c r="D836" s="24">
        <v>4</v>
      </c>
      <c r="E836" s="398">
        <v>5</v>
      </c>
    </row>
    <row r="837" spans="1:5" ht="15" hidden="1">
      <c r="A837" s="162" t="s">
        <v>13</v>
      </c>
      <c r="B837" s="26" t="s">
        <v>14</v>
      </c>
      <c r="C837" s="26"/>
      <c r="D837" s="26"/>
      <c r="E837" s="399"/>
    </row>
    <row r="838" spans="1:5" ht="17.25" hidden="1">
      <c r="A838" s="162" t="s">
        <v>15</v>
      </c>
      <c r="B838" s="88" t="s">
        <v>138</v>
      </c>
      <c r="C838" s="9" t="s">
        <v>59</v>
      </c>
      <c r="D838" s="163" t="s">
        <v>134</v>
      </c>
      <c r="E838" s="400">
        <f>E839+E840</f>
        <v>20.963812981712756</v>
      </c>
    </row>
    <row r="839" spans="1:5" ht="18.75" hidden="1">
      <c r="A839" s="164" t="s">
        <v>16</v>
      </c>
      <c r="B839" s="24" t="s">
        <v>18</v>
      </c>
      <c r="C839" s="11" t="s">
        <v>59</v>
      </c>
      <c r="D839" s="77" t="s">
        <v>126</v>
      </c>
      <c r="E839" s="381">
        <v>4.57</v>
      </c>
    </row>
    <row r="840" spans="1:5" ht="33" hidden="1">
      <c r="A840" s="165" t="s">
        <v>17</v>
      </c>
      <c r="B840" s="104" t="s">
        <v>19</v>
      </c>
      <c r="C840" s="27" t="s">
        <v>59</v>
      </c>
      <c r="D840" s="28" t="s">
        <v>188</v>
      </c>
      <c r="E840" s="401">
        <f>0.29+((4325*E845+226*E853+106.1*E849+509*E857)/(44.84*1000))/10</f>
        <v>16.393812981712756</v>
      </c>
    </row>
    <row r="841" spans="1:5" ht="15" hidden="1">
      <c r="A841" s="164" t="s">
        <v>21</v>
      </c>
      <c r="B841" s="30" t="s">
        <v>22</v>
      </c>
      <c r="C841" s="31"/>
      <c r="D841" s="33"/>
      <c r="E841" s="402"/>
    </row>
    <row r="842" spans="1:5" ht="15" hidden="1">
      <c r="A842" s="166" t="s">
        <v>23</v>
      </c>
      <c r="B842" s="48" t="s">
        <v>24</v>
      </c>
      <c r="C842" s="49"/>
      <c r="D842" s="49"/>
      <c r="E842" s="403"/>
    </row>
    <row r="843" spans="1:5" ht="15" hidden="1">
      <c r="A843" s="164" t="s">
        <v>25</v>
      </c>
      <c r="B843" s="24" t="s">
        <v>26</v>
      </c>
      <c r="C843" s="32" t="s">
        <v>41</v>
      </c>
      <c r="D843" s="24"/>
      <c r="E843" s="404">
        <v>1217.45</v>
      </c>
    </row>
    <row r="844" spans="1:5" ht="15" hidden="1">
      <c r="A844" s="164" t="s">
        <v>27</v>
      </c>
      <c r="B844" s="24" t="s">
        <v>28</v>
      </c>
      <c r="C844" s="5" t="s">
        <v>41</v>
      </c>
      <c r="D844" s="24"/>
      <c r="E844" s="398">
        <v>313.23</v>
      </c>
    </row>
    <row r="845" spans="1:6" ht="15" hidden="1">
      <c r="A845" s="164" t="s">
        <v>29</v>
      </c>
      <c r="B845" s="38" t="s">
        <v>30</v>
      </c>
      <c r="C845" s="39" t="s">
        <v>41</v>
      </c>
      <c r="D845" s="24"/>
      <c r="E845" s="405">
        <f>E843+E844</f>
        <v>1530.68</v>
      </c>
      <c r="F845" s="102">
        <f>E845*4325</f>
        <v>6620191</v>
      </c>
    </row>
    <row r="846" spans="1:6" ht="15" hidden="1">
      <c r="A846" s="167" t="s">
        <v>31</v>
      </c>
      <c r="B846" s="41" t="s">
        <v>177</v>
      </c>
      <c r="C846" s="42"/>
      <c r="D846" s="42"/>
      <c r="E846" s="406"/>
      <c r="F846" s="102">
        <f>E849*106.1</f>
        <v>67151.75099999999</v>
      </c>
    </row>
    <row r="847" spans="1:6" ht="15" hidden="1">
      <c r="A847" s="164" t="s">
        <v>35</v>
      </c>
      <c r="B847" s="24" t="s">
        <v>26</v>
      </c>
      <c r="C847" s="40" t="s">
        <v>33</v>
      </c>
      <c r="D847" s="24"/>
      <c r="E847" s="404"/>
      <c r="F847" s="102">
        <f>E853*226</f>
        <v>125149.76</v>
      </c>
    </row>
    <row r="848" spans="1:6" ht="15" hidden="1">
      <c r="A848" s="164" t="s">
        <v>36</v>
      </c>
      <c r="B848" s="24" t="s">
        <v>28</v>
      </c>
      <c r="C848" s="4" t="s">
        <v>33</v>
      </c>
      <c r="D848" s="24"/>
      <c r="E848" s="404"/>
      <c r="F848" s="102">
        <f>E857*509</f>
        <v>408457.23000000004</v>
      </c>
    </row>
    <row r="849" spans="1:6" ht="15" hidden="1">
      <c r="A849" s="164" t="s">
        <v>37</v>
      </c>
      <c r="B849" s="24" t="s">
        <v>30</v>
      </c>
      <c r="C849" s="43" t="s">
        <v>33</v>
      </c>
      <c r="D849" s="24"/>
      <c r="E849" s="405">
        <v>632.91</v>
      </c>
      <c r="F849" s="102"/>
    </row>
    <row r="850" spans="1:6" ht="15" hidden="1">
      <c r="A850" s="167" t="s">
        <v>31</v>
      </c>
      <c r="B850" s="41" t="s">
        <v>178</v>
      </c>
      <c r="C850" s="42"/>
      <c r="D850" s="42"/>
      <c r="E850" s="406"/>
      <c r="F850" s="102"/>
    </row>
    <row r="851" spans="1:6" ht="15" hidden="1">
      <c r="A851" s="164" t="s">
        <v>35</v>
      </c>
      <c r="B851" s="24" t="s">
        <v>26</v>
      </c>
      <c r="C851" s="40" t="s">
        <v>33</v>
      </c>
      <c r="D851" s="24"/>
      <c r="E851" s="404"/>
      <c r="F851" s="102"/>
    </row>
    <row r="852" spans="1:6" ht="15" hidden="1">
      <c r="A852" s="164" t="s">
        <v>36</v>
      </c>
      <c r="B852" s="24" t="s">
        <v>28</v>
      </c>
      <c r="C852" s="4" t="s">
        <v>33</v>
      </c>
      <c r="D852" s="24"/>
      <c r="E852" s="404"/>
      <c r="F852" s="102"/>
    </row>
    <row r="853" spans="1:6" ht="15" hidden="1">
      <c r="A853" s="164" t="s">
        <v>37</v>
      </c>
      <c r="B853" s="24" t="s">
        <v>30</v>
      </c>
      <c r="C853" s="43" t="s">
        <v>33</v>
      </c>
      <c r="D853" s="24"/>
      <c r="E853" s="405">
        <v>553.76</v>
      </c>
      <c r="F853" s="102"/>
    </row>
    <row r="854" spans="1:6" ht="15" hidden="1">
      <c r="A854" s="168" t="s">
        <v>34</v>
      </c>
      <c r="B854" s="45" t="s">
        <v>103</v>
      </c>
      <c r="C854" s="46"/>
      <c r="D854" s="46"/>
      <c r="E854" s="407"/>
      <c r="F854" s="102"/>
    </row>
    <row r="855" spans="1:6" ht="15" hidden="1">
      <c r="A855" s="169" t="s">
        <v>38</v>
      </c>
      <c r="B855" s="44" t="s">
        <v>26</v>
      </c>
      <c r="C855" s="40" t="s">
        <v>33</v>
      </c>
      <c r="D855" s="24"/>
      <c r="E855" s="404" t="e">
        <f>#REF!</f>
        <v>#REF!</v>
      </c>
      <c r="F855" s="102"/>
    </row>
    <row r="856" spans="1:6" ht="15" hidden="1">
      <c r="A856" s="169" t="s">
        <v>39</v>
      </c>
      <c r="B856" s="24" t="s">
        <v>28</v>
      </c>
      <c r="C856" s="4" t="s">
        <v>33</v>
      </c>
      <c r="D856" s="24"/>
      <c r="E856" s="398"/>
      <c r="F856" s="102"/>
    </row>
    <row r="857" spans="1:5" ht="15" hidden="1">
      <c r="A857" s="21" t="s">
        <v>40</v>
      </c>
      <c r="B857" s="38" t="s">
        <v>30</v>
      </c>
      <c r="C857" s="43" t="s">
        <v>33</v>
      </c>
      <c r="D857" s="24"/>
      <c r="E857" s="405">
        <v>802.47</v>
      </c>
    </row>
    <row r="858" spans="1:5" ht="15" hidden="1">
      <c r="A858" s="170" t="s">
        <v>42</v>
      </c>
      <c r="B858" s="51" t="s">
        <v>43</v>
      </c>
      <c r="C858" s="52"/>
      <c r="D858" s="52"/>
      <c r="E858" s="408"/>
    </row>
    <row r="859" spans="1:5" ht="15" hidden="1">
      <c r="A859" s="121" t="s">
        <v>44</v>
      </c>
      <c r="B859" s="24" t="s">
        <v>104</v>
      </c>
      <c r="C859" s="24"/>
      <c r="D859" s="24"/>
      <c r="E859" s="409" t="s">
        <v>106</v>
      </c>
    </row>
    <row r="860" spans="1:5" ht="15" hidden="1">
      <c r="A860" s="121" t="s">
        <v>45</v>
      </c>
      <c r="B860" s="24" t="s">
        <v>105</v>
      </c>
      <c r="C860" s="11" t="s">
        <v>59</v>
      </c>
      <c r="D860" s="24"/>
      <c r="E860" s="398">
        <v>0</v>
      </c>
    </row>
    <row r="861" spans="1:5" ht="17.25" hidden="1">
      <c r="A861" s="171" t="s">
        <v>46</v>
      </c>
      <c r="B861" s="91" t="s">
        <v>127</v>
      </c>
      <c r="C861" s="94" t="s">
        <v>59</v>
      </c>
      <c r="D861" s="95" t="s">
        <v>136</v>
      </c>
      <c r="E861" s="417">
        <f>E862+E863</f>
        <v>20.963812981712756</v>
      </c>
    </row>
    <row r="862" spans="1:5" ht="18.75" hidden="1">
      <c r="A862" s="121" t="s">
        <v>48</v>
      </c>
      <c r="B862" s="24" t="s">
        <v>49</v>
      </c>
      <c r="C862" s="53" t="s">
        <v>59</v>
      </c>
      <c r="D862" s="77" t="s">
        <v>128</v>
      </c>
      <c r="E862" s="404">
        <f>E839</f>
        <v>4.57</v>
      </c>
    </row>
    <row r="863" spans="1:5" ht="33" hidden="1">
      <c r="A863" s="165" t="s">
        <v>50</v>
      </c>
      <c r="B863" s="35" t="s">
        <v>51</v>
      </c>
      <c r="C863" s="27" t="s">
        <v>59</v>
      </c>
      <c r="D863" s="54" t="s">
        <v>188</v>
      </c>
      <c r="E863" s="411">
        <f>E840</f>
        <v>16.393812981712756</v>
      </c>
    </row>
    <row r="864" spans="1:5" ht="15" hidden="1">
      <c r="A864" s="121" t="s">
        <v>52</v>
      </c>
      <c r="B864" s="55" t="s">
        <v>53</v>
      </c>
      <c r="C864" s="33"/>
      <c r="D864" s="33"/>
      <c r="E864" s="402"/>
    </row>
    <row r="865" spans="1:5" ht="15" hidden="1">
      <c r="A865" s="121" t="s">
        <v>54</v>
      </c>
      <c r="B865" s="24" t="s">
        <v>55</v>
      </c>
      <c r="C865" s="11" t="s">
        <v>56</v>
      </c>
      <c r="D865" s="24"/>
      <c r="E865" s="398">
        <v>33.34</v>
      </c>
    </row>
    <row r="866" spans="1:5" ht="15" hidden="1">
      <c r="A866" s="121" t="s">
        <v>57</v>
      </c>
      <c r="B866" s="24" t="s">
        <v>58</v>
      </c>
      <c r="C866" s="11" t="s">
        <v>59</v>
      </c>
      <c r="D866" s="56" t="s">
        <v>47</v>
      </c>
      <c r="E866" s="404">
        <f>E863</f>
        <v>16.393812981712756</v>
      </c>
    </row>
    <row r="867" spans="1:5" ht="15" hidden="1">
      <c r="A867" s="162" t="s">
        <v>60</v>
      </c>
      <c r="B867" s="559" t="s">
        <v>61</v>
      </c>
      <c r="C867" s="560"/>
      <c r="D867" s="560"/>
      <c r="E867" s="561"/>
    </row>
    <row r="868" spans="1:5" ht="17.25" hidden="1">
      <c r="A868" s="12" t="s">
        <v>62</v>
      </c>
      <c r="B868" s="16" t="s">
        <v>137</v>
      </c>
      <c r="C868" s="9" t="s">
        <v>59</v>
      </c>
      <c r="D868" s="95" t="s">
        <v>135</v>
      </c>
      <c r="E868" s="400">
        <f>E869+E870</f>
        <v>6.886649095414903</v>
      </c>
    </row>
    <row r="869" spans="1:5" ht="18.75" hidden="1">
      <c r="A869" s="13" t="s">
        <v>63</v>
      </c>
      <c r="B869" s="14" t="s">
        <v>64</v>
      </c>
      <c r="C869" s="11" t="s">
        <v>59</v>
      </c>
      <c r="D869" s="77" t="s">
        <v>129</v>
      </c>
      <c r="E869" s="398">
        <v>2.44</v>
      </c>
    </row>
    <row r="870" spans="1:5" ht="18.75" hidden="1">
      <c r="A870" s="13" t="s">
        <v>65</v>
      </c>
      <c r="B870" s="15" t="s">
        <v>66</v>
      </c>
      <c r="C870" s="20"/>
      <c r="D870" s="178" t="s">
        <v>189</v>
      </c>
      <c r="E870" s="404">
        <f>0.41+(7.24*E838/37.6)</f>
        <v>4.446649095414903</v>
      </c>
    </row>
    <row r="871" spans="1:5" ht="15" hidden="1">
      <c r="A871" s="12" t="s">
        <v>67</v>
      </c>
      <c r="B871" s="16" t="s">
        <v>68</v>
      </c>
      <c r="C871" s="9"/>
      <c r="D871" s="24"/>
      <c r="E871" s="398"/>
    </row>
    <row r="872" spans="1:5" ht="15" hidden="1">
      <c r="A872" s="12" t="s">
        <v>69</v>
      </c>
      <c r="B872" s="17" t="s">
        <v>55</v>
      </c>
      <c r="C872" s="10" t="s">
        <v>56</v>
      </c>
      <c r="D872" s="24"/>
      <c r="E872" s="404">
        <v>16.1</v>
      </c>
    </row>
    <row r="873" spans="1:5" ht="18.75" hidden="1">
      <c r="A873" s="12" t="s">
        <v>70</v>
      </c>
      <c r="B873" s="17" t="s">
        <v>71</v>
      </c>
      <c r="C873" s="11" t="s">
        <v>59</v>
      </c>
      <c r="D873" s="77" t="s">
        <v>131</v>
      </c>
      <c r="E873" s="404">
        <f>E870</f>
        <v>4.446649095414903</v>
      </c>
    </row>
    <row r="874" spans="1:5" ht="15" hidden="1">
      <c r="A874" s="172" t="s">
        <v>72</v>
      </c>
      <c r="B874" s="562" t="s">
        <v>73</v>
      </c>
      <c r="C874" s="563"/>
      <c r="D874" s="563"/>
      <c r="E874" s="564"/>
    </row>
    <row r="875" spans="1:5" ht="15" hidden="1">
      <c r="A875" s="557" t="s">
        <v>79</v>
      </c>
      <c r="B875" s="18" t="s">
        <v>74</v>
      </c>
      <c r="C875" s="11" t="s">
        <v>59</v>
      </c>
      <c r="D875" s="79" t="s">
        <v>106</v>
      </c>
      <c r="E875" s="412">
        <v>0.31</v>
      </c>
    </row>
    <row r="876" spans="1:5" ht="15" hidden="1">
      <c r="A876" s="558"/>
      <c r="B876" s="19" t="s">
        <v>75</v>
      </c>
      <c r="C876" s="53" t="s">
        <v>76</v>
      </c>
      <c r="D876" s="79" t="s">
        <v>106</v>
      </c>
      <c r="E876" s="412">
        <v>2.34</v>
      </c>
    </row>
    <row r="877" spans="1:5" ht="15.75" hidden="1" thickBot="1">
      <c r="A877" s="558"/>
      <c r="B877" s="19" t="s">
        <v>77</v>
      </c>
      <c r="C877" s="78" t="s">
        <v>78</v>
      </c>
      <c r="D877" s="79" t="s">
        <v>106</v>
      </c>
      <c r="E877" s="412">
        <v>46.34</v>
      </c>
    </row>
    <row r="878" spans="1:5" ht="15" hidden="1">
      <c r="A878" s="172" t="s">
        <v>80</v>
      </c>
      <c r="B878" s="82" t="s">
        <v>81</v>
      </c>
      <c r="C878" s="11" t="s">
        <v>59</v>
      </c>
      <c r="D878" s="62"/>
      <c r="E878" s="412">
        <v>-0.07</v>
      </c>
    </row>
    <row r="879" spans="1:5" ht="15" hidden="1">
      <c r="A879" s="172" t="s">
        <v>82</v>
      </c>
      <c r="B879" s="82" t="s">
        <v>83</v>
      </c>
      <c r="C879" s="11" t="s">
        <v>59</v>
      </c>
      <c r="D879" s="62"/>
      <c r="E879" s="412">
        <v>-0.14</v>
      </c>
    </row>
    <row r="880" spans="1:5" ht="15" hidden="1">
      <c r="A880" s="172" t="s">
        <v>84</v>
      </c>
      <c r="B880" s="82" t="s">
        <v>179</v>
      </c>
      <c r="C880" s="11" t="s">
        <v>59</v>
      </c>
      <c r="D880" s="62"/>
      <c r="E880" s="413">
        <f>E861+E868+E875+E878+E879</f>
        <v>27.950462077127657</v>
      </c>
    </row>
    <row r="881" spans="1:5" ht="15" hidden="1">
      <c r="A881" s="172" t="s">
        <v>85</v>
      </c>
      <c r="B881" s="82" t="s">
        <v>86</v>
      </c>
      <c r="C881" s="11" t="s">
        <v>59</v>
      </c>
      <c r="D881" s="62"/>
      <c r="E881" s="412">
        <v>0</v>
      </c>
    </row>
    <row r="882" spans="1:5" ht="15" hidden="1">
      <c r="A882" s="172" t="s">
        <v>87</v>
      </c>
      <c r="B882" s="82" t="s">
        <v>88</v>
      </c>
      <c r="C882" s="9" t="s">
        <v>59</v>
      </c>
      <c r="D882" s="84"/>
      <c r="E882" s="413">
        <f>E880</f>
        <v>27.950462077127657</v>
      </c>
    </row>
    <row r="883" spans="1:5" ht="15" hidden="1">
      <c r="A883" s="172" t="s">
        <v>89</v>
      </c>
      <c r="B883" s="82" t="s">
        <v>90</v>
      </c>
      <c r="C883" s="9" t="s">
        <v>59</v>
      </c>
      <c r="D883" s="84"/>
      <c r="E883" s="414">
        <f>E882*1.09</f>
        <v>30.46600366406915</v>
      </c>
    </row>
    <row r="884" spans="1:5" ht="15" hidden="1">
      <c r="A884" s="172" t="s">
        <v>91</v>
      </c>
      <c r="B884" s="82" t="s">
        <v>92</v>
      </c>
      <c r="C884" s="9" t="s">
        <v>59</v>
      </c>
      <c r="D884" s="84"/>
      <c r="E884" s="414">
        <f>E791</f>
        <v>27.86</v>
      </c>
    </row>
    <row r="885" spans="1:5" ht="15" hidden="1">
      <c r="A885" s="172" t="s">
        <v>93</v>
      </c>
      <c r="B885" s="82" t="s">
        <v>94</v>
      </c>
      <c r="C885" s="81" t="s">
        <v>95</v>
      </c>
      <c r="D885" s="84"/>
      <c r="E885" s="414">
        <f>(E880/E884)*100-100</f>
        <v>0.32470235867788233</v>
      </c>
    </row>
    <row r="886" spans="1:5" ht="15" hidden="1">
      <c r="A886" s="172" t="s">
        <v>96</v>
      </c>
      <c r="B886" s="83" t="s">
        <v>97</v>
      </c>
      <c r="C886" s="85" t="s">
        <v>98</v>
      </c>
      <c r="D886" s="86"/>
      <c r="E886" s="415">
        <v>4.73</v>
      </c>
    </row>
    <row r="887" spans="1:5" ht="15" hidden="1">
      <c r="A887" s="172" t="s">
        <v>99</v>
      </c>
      <c r="B887" s="83" t="s">
        <v>100</v>
      </c>
      <c r="C887" s="80" t="s">
        <v>98</v>
      </c>
      <c r="D887" s="62"/>
      <c r="E887" s="415">
        <v>4.14</v>
      </c>
    </row>
    <row r="888" spans="1:5" ht="15.75" hidden="1" thickBot="1">
      <c r="A888" s="22" t="s">
        <v>101</v>
      </c>
      <c r="B888" s="23" t="s">
        <v>102</v>
      </c>
      <c r="C888" s="173" t="s">
        <v>98</v>
      </c>
      <c r="D888" s="174"/>
      <c r="E888" s="416">
        <v>0</v>
      </c>
    </row>
    <row r="889" ht="15" hidden="1"/>
    <row r="890" ht="15" hidden="1"/>
    <row r="891" ht="15" hidden="1"/>
    <row r="892" ht="15" hidden="1">
      <c r="B892" s="161"/>
    </row>
    <row r="893" spans="1:5" ht="15" hidden="1">
      <c r="A893" s="155"/>
      <c r="B893" s="155"/>
      <c r="C893" s="155"/>
      <c r="D893" s="155"/>
      <c r="E893" s="334"/>
    </row>
    <row r="894" spans="1:5" ht="15" hidden="1">
      <c r="A894" s="155"/>
      <c r="B894" s="155"/>
      <c r="C894" s="155"/>
      <c r="D894" s="155"/>
      <c r="E894" s="334"/>
    </row>
    <row r="895" ht="15" hidden="1"/>
    <row r="896" ht="15" hidden="1"/>
    <row r="897" ht="15" hidden="1"/>
    <row r="898" ht="15" hidden="1"/>
    <row r="899" ht="15" hidden="1"/>
    <row r="900" ht="15" hidden="1"/>
    <row r="901" ht="15" hidden="1"/>
    <row r="902" ht="15" hidden="1"/>
    <row r="903" ht="15" hidden="1"/>
    <row r="904" ht="15" hidden="1"/>
    <row r="905" ht="15" hidden="1"/>
    <row r="906" spans="2:4" ht="15" hidden="1">
      <c r="B906" t="s">
        <v>144</v>
      </c>
      <c r="C906" t="s">
        <v>148</v>
      </c>
      <c r="D906" s="101" t="s">
        <v>145</v>
      </c>
    </row>
    <row r="907" ht="15" hidden="1">
      <c r="C907" s="108" t="s">
        <v>149</v>
      </c>
    </row>
    <row r="908" ht="15" hidden="1"/>
    <row r="909" ht="15" hidden="1"/>
    <row r="910" ht="15" hidden="1"/>
    <row r="911" spans="1:5" ht="15" hidden="1">
      <c r="A911" s="87" t="s">
        <v>0</v>
      </c>
      <c r="B911" s="87"/>
      <c r="C911" s="87"/>
      <c r="D911" s="87"/>
      <c r="E911" s="334" t="s">
        <v>107</v>
      </c>
    </row>
    <row r="912" spans="1:5" ht="15" hidden="1">
      <c r="A912" s="87" t="s">
        <v>1</v>
      </c>
      <c r="B912" s="87"/>
      <c r="C912" s="87"/>
      <c r="D912" s="87" t="s">
        <v>133</v>
      </c>
      <c r="E912" s="373"/>
    </row>
    <row r="913" spans="1:5" ht="15" hidden="1">
      <c r="A913" s="87" t="s">
        <v>2</v>
      </c>
      <c r="B913" s="87"/>
      <c r="C913" s="87"/>
      <c r="D913" s="87" t="s">
        <v>122</v>
      </c>
      <c r="E913" s="374"/>
    </row>
    <row r="914" spans="1:5" ht="15" hidden="1">
      <c r="A914" s="87" t="s">
        <v>3</v>
      </c>
      <c r="B914" s="87"/>
      <c r="C914" s="87"/>
      <c r="D914" s="87" t="s">
        <v>123</v>
      </c>
      <c r="E914" s="373"/>
    </row>
    <row r="915" spans="1:5" ht="15" hidden="1">
      <c r="A915" s="87" t="s">
        <v>4</v>
      </c>
      <c r="B915" s="87"/>
      <c r="C915" s="87"/>
      <c r="D915" s="87" t="s">
        <v>124</v>
      </c>
      <c r="E915" s="373"/>
    </row>
    <row r="916" spans="1:5" ht="15" hidden="1">
      <c r="A916" s="107" t="s">
        <v>147</v>
      </c>
      <c r="B916" s="87"/>
      <c r="C916" s="87"/>
      <c r="D916" s="87"/>
      <c r="E916" s="373"/>
    </row>
    <row r="917" spans="1:5" ht="15" hidden="1">
      <c r="A917" s="87" t="s">
        <v>5</v>
      </c>
      <c r="B917" s="87"/>
      <c r="C917" s="87"/>
      <c r="D917" s="87" t="s">
        <v>125</v>
      </c>
      <c r="E917" s="373"/>
    </row>
    <row r="918" spans="1:5" ht="15" hidden="1">
      <c r="A918" s="1"/>
      <c r="B918" s="1"/>
      <c r="C918" s="1"/>
      <c r="D918" s="1"/>
      <c r="E918" s="316"/>
    </row>
    <row r="919" spans="1:4" ht="15.75" hidden="1">
      <c r="A919" s="96"/>
      <c r="B919" s="96" t="s">
        <v>192</v>
      </c>
      <c r="C919" s="2"/>
      <c r="D919" s="2"/>
    </row>
    <row r="920" spans="1:4" ht="15.75" hidden="1">
      <c r="A920" s="96"/>
      <c r="B920" s="96"/>
      <c r="C920" s="105">
        <v>41779</v>
      </c>
      <c r="D920" s="2"/>
    </row>
    <row r="921" spans="1:4" ht="15.75" hidden="1">
      <c r="A921" s="96"/>
      <c r="B921" s="96"/>
      <c r="C921" s="106" t="s">
        <v>146</v>
      </c>
      <c r="D921" s="2"/>
    </row>
    <row r="922" spans="1:5" ht="15" hidden="1">
      <c r="A922" s="2" t="s">
        <v>6</v>
      </c>
      <c r="B922" s="2"/>
      <c r="C922" s="2"/>
      <c r="D922" s="2"/>
      <c r="E922" s="376"/>
    </row>
    <row r="923" spans="1:5" ht="15" hidden="1">
      <c r="A923" s="1" t="s">
        <v>174</v>
      </c>
      <c r="B923" s="1"/>
      <c r="C923" s="1"/>
      <c r="D923" s="1"/>
      <c r="E923" s="316"/>
    </row>
    <row r="924" spans="1:5" ht="15" hidden="1">
      <c r="A924" s="1" t="s">
        <v>7</v>
      </c>
      <c r="B924" s="1"/>
      <c r="C924" s="1"/>
      <c r="D924" s="1"/>
      <c r="E924" s="316"/>
    </row>
    <row r="925" spans="1:5" ht="15.75" hidden="1" thickBot="1">
      <c r="A925" s="177" t="s">
        <v>191</v>
      </c>
      <c r="B925" s="177"/>
      <c r="C925" s="177"/>
      <c r="D925" s="177"/>
      <c r="E925" s="418"/>
    </row>
    <row r="926" spans="1:5" ht="15" hidden="1">
      <c r="A926" s="117" t="s">
        <v>8</v>
      </c>
      <c r="B926" s="118" t="s">
        <v>9</v>
      </c>
      <c r="C926" s="118" t="s">
        <v>10</v>
      </c>
      <c r="D926" s="118" t="s">
        <v>11</v>
      </c>
      <c r="E926" s="397" t="s">
        <v>12</v>
      </c>
    </row>
    <row r="927" spans="1:5" ht="15" hidden="1">
      <c r="A927" s="121">
        <v>1</v>
      </c>
      <c r="B927" s="24">
        <v>2</v>
      </c>
      <c r="C927" s="24">
        <v>3</v>
      </c>
      <c r="D927" s="24">
        <v>4</v>
      </c>
      <c r="E927" s="398">
        <v>5</v>
      </c>
    </row>
    <row r="928" spans="1:5" ht="15" hidden="1">
      <c r="A928" s="162" t="s">
        <v>13</v>
      </c>
      <c r="B928" s="26" t="s">
        <v>14</v>
      </c>
      <c r="C928" s="26"/>
      <c r="D928" s="26"/>
      <c r="E928" s="399"/>
    </row>
    <row r="929" spans="1:5" ht="17.25" hidden="1">
      <c r="A929" s="162" t="s">
        <v>15</v>
      </c>
      <c r="B929" s="88" t="s">
        <v>138</v>
      </c>
      <c r="C929" s="9" t="s">
        <v>59</v>
      </c>
      <c r="D929" s="163" t="s">
        <v>134</v>
      </c>
      <c r="E929" s="400">
        <f>E930+E931</f>
        <v>20.813790211864408</v>
      </c>
    </row>
    <row r="930" spans="1:5" ht="18.75" hidden="1">
      <c r="A930" s="164" t="s">
        <v>16</v>
      </c>
      <c r="B930" s="24" t="s">
        <v>18</v>
      </c>
      <c r="C930" s="11" t="s">
        <v>59</v>
      </c>
      <c r="D930" s="77" t="s">
        <v>126</v>
      </c>
      <c r="E930" s="381">
        <v>4.57</v>
      </c>
    </row>
    <row r="931" spans="1:5" ht="33" hidden="1">
      <c r="A931" s="165" t="s">
        <v>17</v>
      </c>
      <c r="B931" s="104" t="s">
        <v>19</v>
      </c>
      <c r="C931" s="27" t="s">
        <v>59</v>
      </c>
      <c r="D931" s="28" t="s">
        <v>188</v>
      </c>
      <c r="E931" s="401">
        <f>0.29+((4325*E936+226*E944+106.1*E940+509*E948)/(44.84*1000))/10</f>
        <v>16.243790211864408</v>
      </c>
    </row>
    <row r="932" spans="1:5" ht="15" hidden="1">
      <c r="A932" s="164" t="s">
        <v>21</v>
      </c>
      <c r="B932" s="30" t="s">
        <v>22</v>
      </c>
      <c r="C932" s="31"/>
      <c r="D932" s="33"/>
      <c r="E932" s="402"/>
    </row>
    <row r="933" spans="1:5" ht="15" hidden="1">
      <c r="A933" s="166" t="s">
        <v>23</v>
      </c>
      <c r="B933" s="48" t="s">
        <v>24</v>
      </c>
      <c r="C933" s="49"/>
      <c r="D933" s="49"/>
      <c r="E933" s="403"/>
    </row>
    <row r="934" spans="1:5" ht="15" hidden="1">
      <c r="A934" s="164" t="s">
        <v>25</v>
      </c>
      <c r="B934" s="24" t="s">
        <v>26</v>
      </c>
      <c r="C934" s="32" t="s">
        <v>41</v>
      </c>
      <c r="D934" s="24"/>
      <c r="E934" s="404">
        <v>1215.04</v>
      </c>
    </row>
    <row r="935" spans="1:5" ht="15" hidden="1">
      <c r="A935" s="164" t="s">
        <v>27</v>
      </c>
      <c r="B935" s="24" t="s">
        <v>28</v>
      </c>
      <c r="C935" s="5" t="s">
        <v>41</v>
      </c>
      <c r="D935" s="24"/>
      <c r="E935" s="398">
        <v>313.23</v>
      </c>
    </row>
    <row r="936" spans="1:6" ht="15" hidden="1">
      <c r="A936" s="164" t="s">
        <v>29</v>
      </c>
      <c r="B936" s="38" t="s">
        <v>30</v>
      </c>
      <c r="C936" s="39" t="s">
        <v>41</v>
      </c>
      <c r="D936" s="24"/>
      <c r="E936" s="405">
        <f>E934+E935</f>
        <v>1528.27</v>
      </c>
      <c r="F936" s="102">
        <f>E936*4325</f>
        <v>6609767.75</v>
      </c>
    </row>
    <row r="937" spans="1:6" ht="15" hidden="1">
      <c r="A937" s="167" t="s">
        <v>31</v>
      </c>
      <c r="B937" s="41" t="s">
        <v>177</v>
      </c>
      <c r="C937" s="42"/>
      <c r="D937" s="42"/>
      <c r="E937" s="406"/>
      <c r="F937" s="102">
        <f>E940*106.1</f>
        <v>61634.55099999999</v>
      </c>
    </row>
    <row r="938" spans="1:6" ht="15" hidden="1">
      <c r="A938" s="164" t="s">
        <v>35</v>
      </c>
      <c r="B938" s="24" t="s">
        <v>26</v>
      </c>
      <c r="C938" s="40" t="s">
        <v>33</v>
      </c>
      <c r="D938" s="24"/>
      <c r="E938" s="404"/>
      <c r="F938" s="102">
        <f>E944*226</f>
        <v>83674.24</v>
      </c>
    </row>
    <row r="939" spans="1:6" ht="15" hidden="1">
      <c r="A939" s="164" t="s">
        <v>36</v>
      </c>
      <c r="B939" s="24" t="s">
        <v>28</v>
      </c>
      <c r="C939" s="4" t="s">
        <v>33</v>
      </c>
      <c r="D939" s="24"/>
      <c r="E939" s="404"/>
      <c r="F939" s="102">
        <f>E948*509</f>
        <v>398602.99</v>
      </c>
    </row>
    <row r="940" spans="1:6" ht="15" hidden="1">
      <c r="A940" s="164" t="s">
        <v>37</v>
      </c>
      <c r="B940" s="24" t="s">
        <v>30</v>
      </c>
      <c r="C940" s="43" t="s">
        <v>33</v>
      </c>
      <c r="D940" s="24"/>
      <c r="E940" s="405">
        <v>580.91</v>
      </c>
      <c r="F940" s="102"/>
    </row>
    <row r="941" spans="1:6" ht="15" hidden="1">
      <c r="A941" s="167" t="s">
        <v>31</v>
      </c>
      <c r="B941" s="41" t="s">
        <v>178</v>
      </c>
      <c r="C941" s="42"/>
      <c r="D941" s="42"/>
      <c r="E941" s="406"/>
      <c r="F941" s="102"/>
    </row>
    <row r="942" spans="1:6" ht="15" hidden="1">
      <c r="A942" s="164" t="s">
        <v>35</v>
      </c>
      <c r="B942" s="24" t="s">
        <v>26</v>
      </c>
      <c r="C942" s="40" t="s">
        <v>33</v>
      </c>
      <c r="D942" s="24"/>
      <c r="E942" s="404"/>
      <c r="F942" s="102"/>
    </row>
    <row r="943" spans="1:6" ht="15" hidden="1">
      <c r="A943" s="164" t="s">
        <v>36</v>
      </c>
      <c r="B943" s="24" t="s">
        <v>28</v>
      </c>
      <c r="C943" s="4" t="s">
        <v>33</v>
      </c>
      <c r="D943" s="24"/>
      <c r="E943" s="404"/>
      <c r="F943" s="102"/>
    </row>
    <row r="944" spans="1:6" ht="15" hidden="1">
      <c r="A944" s="164" t="s">
        <v>37</v>
      </c>
      <c r="B944" s="24" t="s">
        <v>30</v>
      </c>
      <c r="C944" s="43" t="s">
        <v>33</v>
      </c>
      <c r="D944" s="24"/>
      <c r="E944" s="405">
        <v>370.24</v>
      </c>
      <c r="F944" s="102"/>
    </row>
    <row r="945" spans="1:6" ht="15" hidden="1">
      <c r="A945" s="168" t="s">
        <v>34</v>
      </c>
      <c r="B945" s="45" t="s">
        <v>103</v>
      </c>
      <c r="C945" s="46"/>
      <c r="D945" s="46"/>
      <c r="E945" s="407"/>
      <c r="F945" s="102"/>
    </row>
    <row r="946" spans="1:6" ht="15" hidden="1">
      <c r="A946" s="169" t="s">
        <v>38</v>
      </c>
      <c r="B946" s="44" t="s">
        <v>26</v>
      </c>
      <c r="C946" s="40" t="s">
        <v>33</v>
      </c>
      <c r="D946" s="24"/>
      <c r="E946" s="404" t="e">
        <f>#REF!</f>
        <v>#REF!</v>
      </c>
      <c r="F946" s="102"/>
    </row>
    <row r="947" spans="1:6" ht="15" hidden="1">
      <c r="A947" s="169" t="s">
        <v>39</v>
      </c>
      <c r="B947" s="24" t="s">
        <v>28</v>
      </c>
      <c r="C947" s="4" t="s">
        <v>33</v>
      </c>
      <c r="D947" s="24"/>
      <c r="E947" s="398"/>
      <c r="F947" s="102"/>
    </row>
    <row r="948" spans="1:5" ht="15" hidden="1">
      <c r="A948" s="21" t="s">
        <v>40</v>
      </c>
      <c r="B948" s="38" t="s">
        <v>30</v>
      </c>
      <c r="C948" s="43" t="s">
        <v>33</v>
      </c>
      <c r="D948" s="24"/>
      <c r="E948" s="405">
        <v>783.11</v>
      </c>
    </row>
    <row r="949" spans="1:5" ht="15" hidden="1">
      <c r="A949" s="170" t="s">
        <v>42</v>
      </c>
      <c r="B949" s="51" t="s">
        <v>43</v>
      </c>
      <c r="C949" s="52"/>
      <c r="D949" s="52"/>
      <c r="E949" s="408"/>
    </row>
    <row r="950" spans="1:5" ht="15" hidden="1">
      <c r="A950" s="121" t="s">
        <v>44</v>
      </c>
      <c r="B950" s="24" t="s">
        <v>104</v>
      </c>
      <c r="C950" s="24"/>
      <c r="D950" s="24"/>
      <c r="E950" s="409" t="s">
        <v>106</v>
      </c>
    </row>
    <row r="951" spans="1:5" ht="15" hidden="1">
      <c r="A951" s="121" t="s">
        <v>45</v>
      </c>
      <c r="B951" s="24" t="s">
        <v>105</v>
      </c>
      <c r="C951" s="11" t="s">
        <v>59</v>
      </c>
      <c r="D951" s="24"/>
      <c r="E951" s="398">
        <v>0</v>
      </c>
    </row>
    <row r="952" spans="1:5" ht="17.25" hidden="1">
      <c r="A952" s="171" t="s">
        <v>46</v>
      </c>
      <c r="B952" s="91" t="s">
        <v>127</v>
      </c>
      <c r="C952" s="94" t="s">
        <v>59</v>
      </c>
      <c r="D952" s="95" t="s">
        <v>136</v>
      </c>
      <c r="E952" s="417">
        <f>E953+E954</f>
        <v>20.813790211864408</v>
      </c>
    </row>
    <row r="953" spans="1:5" ht="18.75" hidden="1">
      <c r="A953" s="121" t="s">
        <v>48</v>
      </c>
      <c r="B953" s="24" t="s">
        <v>49</v>
      </c>
      <c r="C953" s="53" t="s">
        <v>59</v>
      </c>
      <c r="D953" s="77" t="s">
        <v>128</v>
      </c>
      <c r="E953" s="404">
        <f>E930</f>
        <v>4.57</v>
      </c>
    </row>
    <row r="954" spans="1:5" ht="33" hidden="1">
      <c r="A954" s="165" t="s">
        <v>50</v>
      </c>
      <c r="B954" s="35" t="s">
        <v>51</v>
      </c>
      <c r="C954" s="27" t="s">
        <v>59</v>
      </c>
      <c r="D954" s="54" t="s">
        <v>188</v>
      </c>
      <c r="E954" s="411">
        <f>E931</f>
        <v>16.243790211864408</v>
      </c>
    </row>
    <row r="955" spans="1:5" ht="15" hidden="1">
      <c r="A955" s="121" t="s">
        <v>52</v>
      </c>
      <c r="B955" s="55" t="s">
        <v>53</v>
      </c>
      <c r="C955" s="33"/>
      <c r="D955" s="33"/>
      <c r="E955" s="402"/>
    </row>
    <row r="956" spans="1:5" ht="15" hidden="1">
      <c r="A956" s="121" t="s">
        <v>54</v>
      </c>
      <c r="B956" s="24" t="s">
        <v>55</v>
      </c>
      <c r="C956" s="11" t="s">
        <v>56</v>
      </c>
      <c r="D956" s="24"/>
      <c r="E956" s="398">
        <v>33.34</v>
      </c>
    </row>
    <row r="957" spans="1:5" ht="15" hidden="1">
      <c r="A957" s="121" t="s">
        <v>57</v>
      </c>
      <c r="B957" s="24" t="s">
        <v>58</v>
      </c>
      <c r="C957" s="11" t="s">
        <v>59</v>
      </c>
      <c r="D957" s="56" t="s">
        <v>47</v>
      </c>
      <c r="E957" s="404">
        <f>E954</f>
        <v>16.243790211864408</v>
      </c>
    </row>
    <row r="958" spans="1:5" ht="15" hidden="1">
      <c r="A958" s="162" t="s">
        <v>60</v>
      </c>
      <c r="B958" s="559" t="s">
        <v>61</v>
      </c>
      <c r="C958" s="560"/>
      <c r="D958" s="560"/>
      <c r="E958" s="561"/>
    </row>
    <row r="959" spans="1:5" ht="17.25" hidden="1">
      <c r="A959" s="12" t="s">
        <v>62</v>
      </c>
      <c r="B959" s="16" t="s">
        <v>137</v>
      </c>
      <c r="C959" s="9" t="s">
        <v>59</v>
      </c>
      <c r="D959" s="95" t="s">
        <v>135</v>
      </c>
      <c r="E959" s="400">
        <f>E960+E961</f>
        <v>6.85776173228453</v>
      </c>
    </row>
    <row r="960" spans="1:5" ht="18.75" hidden="1">
      <c r="A960" s="13" t="s">
        <v>63</v>
      </c>
      <c r="B960" s="14" t="s">
        <v>64</v>
      </c>
      <c r="C960" s="11" t="s">
        <v>59</v>
      </c>
      <c r="D960" s="77" t="s">
        <v>129</v>
      </c>
      <c r="E960" s="398">
        <v>2.44</v>
      </c>
    </row>
    <row r="961" spans="1:5" ht="18.75" hidden="1">
      <c r="A961" s="13" t="s">
        <v>65</v>
      </c>
      <c r="B961" s="15" t="s">
        <v>66</v>
      </c>
      <c r="C961" s="20"/>
      <c r="D961" s="178" t="s">
        <v>189</v>
      </c>
      <c r="E961" s="404">
        <f>0.41+(7.24*E929/37.6)</f>
        <v>4.4177617322845295</v>
      </c>
    </row>
    <row r="962" spans="1:5" ht="15" hidden="1">
      <c r="A962" s="12" t="s">
        <v>67</v>
      </c>
      <c r="B962" s="16" t="s">
        <v>68</v>
      </c>
      <c r="C962" s="9"/>
      <c r="D962" s="24"/>
      <c r="E962" s="398"/>
    </row>
    <row r="963" spans="1:5" ht="15" hidden="1">
      <c r="A963" s="12" t="s">
        <v>69</v>
      </c>
      <c r="B963" s="17" t="s">
        <v>55</v>
      </c>
      <c r="C963" s="10" t="s">
        <v>56</v>
      </c>
      <c r="D963" s="24"/>
      <c r="E963" s="404">
        <v>16.1</v>
      </c>
    </row>
    <row r="964" spans="1:5" ht="18.75" hidden="1">
      <c r="A964" s="12" t="s">
        <v>70</v>
      </c>
      <c r="B964" s="17" t="s">
        <v>71</v>
      </c>
      <c r="C964" s="11" t="s">
        <v>59</v>
      </c>
      <c r="D964" s="77" t="s">
        <v>131</v>
      </c>
      <c r="E964" s="404">
        <f>E961</f>
        <v>4.4177617322845295</v>
      </c>
    </row>
    <row r="965" spans="1:5" ht="15" hidden="1">
      <c r="A965" s="172" t="s">
        <v>72</v>
      </c>
      <c r="B965" s="562" t="s">
        <v>73</v>
      </c>
      <c r="C965" s="563"/>
      <c r="D965" s="563"/>
      <c r="E965" s="564"/>
    </row>
    <row r="966" spans="1:5" ht="15" hidden="1">
      <c r="A966" s="557" t="s">
        <v>79</v>
      </c>
      <c r="B966" s="18" t="s">
        <v>74</v>
      </c>
      <c r="C966" s="11" t="s">
        <v>59</v>
      </c>
      <c r="D966" s="79" t="s">
        <v>106</v>
      </c>
      <c r="E966" s="412">
        <v>0.31</v>
      </c>
    </row>
    <row r="967" spans="1:5" ht="15" hidden="1">
      <c r="A967" s="558"/>
      <c r="B967" s="19" t="s">
        <v>75</v>
      </c>
      <c r="C967" s="53" t="s">
        <v>76</v>
      </c>
      <c r="D967" s="79" t="s">
        <v>106</v>
      </c>
      <c r="E967" s="412">
        <v>2.34</v>
      </c>
    </row>
    <row r="968" spans="1:5" ht="15.75" hidden="1" thickBot="1">
      <c r="A968" s="558"/>
      <c r="B968" s="19" t="s">
        <v>77</v>
      </c>
      <c r="C968" s="78" t="s">
        <v>78</v>
      </c>
      <c r="D968" s="79" t="s">
        <v>106</v>
      </c>
      <c r="E968" s="412">
        <v>46.34</v>
      </c>
    </row>
    <row r="969" spans="1:5" ht="15" hidden="1">
      <c r="A969" s="172" t="s">
        <v>80</v>
      </c>
      <c r="B969" s="82" t="s">
        <v>81</v>
      </c>
      <c r="C969" s="11" t="s">
        <v>59</v>
      </c>
      <c r="D969" s="62"/>
      <c r="E969" s="412">
        <v>-0.07</v>
      </c>
    </row>
    <row r="970" spans="1:5" ht="15" hidden="1">
      <c r="A970" s="172" t="s">
        <v>82</v>
      </c>
      <c r="B970" s="82" t="s">
        <v>83</v>
      </c>
      <c r="C970" s="11" t="s">
        <v>59</v>
      </c>
      <c r="D970" s="62"/>
      <c r="E970" s="412">
        <v>-0.14</v>
      </c>
    </row>
    <row r="971" spans="1:5" ht="15" hidden="1">
      <c r="A971" s="172" t="s">
        <v>84</v>
      </c>
      <c r="B971" s="82" t="s">
        <v>179</v>
      </c>
      <c r="C971" s="11" t="s">
        <v>59</v>
      </c>
      <c r="D971" s="62"/>
      <c r="E971" s="413">
        <f>E952+E959+E966+E969+E970</f>
        <v>27.771551944148936</v>
      </c>
    </row>
    <row r="972" spans="1:5" ht="15" hidden="1">
      <c r="A972" s="172" t="s">
        <v>85</v>
      </c>
      <c r="B972" s="82" t="s">
        <v>86</v>
      </c>
      <c r="C972" s="11" t="s">
        <v>59</v>
      </c>
      <c r="D972" s="62"/>
      <c r="E972" s="412">
        <v>0</v>
      </c>
    </row>
    <row r="973" spans="1:5" ht="15" hidden="1">
      <c r="A973" s="172" t="s">
        <v>87</v>
      </c>
      <c r="B973" s="82" t="s">
        <v>88</v>
      </c>
      <c r="C973" s="9" t="s">
        <v>59</v>
      </c>
      <c r="D973" s="84"/>
      <c r="E973" s="413">
        <f>E971</f>
        <v>27.771551944148936</v>
      </c>
    </row>
    <row r="974" spans="1:5" ht="15" hidden="1">
      <c r="A974" s="172" t="s">
        <v>89</v>
      </c>
      <c r="B974" s="82" t="s">
        <v>90</v>
      </c>
      <c r="C974" s="9" t="s">
        <v>59</v>
      </c>
      <c r="D974" s="84"/>
      <c r="E974" s="414">
        <f>E973*1.09</f>
        <v>30.27099161912234</v>
      </c>
    </row>
    <row r="975" spans="1:5" ht="15" hidden="1">
      <c r="A975" s="172" t="s">
        <v>91</v>
      </c>
      <c r="B975" s="82" t="s">
        <v>92</v>
      </c>
      <c r="C975" s="9" t="s">
        <v>59</v>
      </c>
      <c r="D975" s="84"/>
      <c r="E975" s="414">
        <f>E882</f>
        <v>27.950462077127657</v>
      </c>
    </row>
    <row r="976" spans="1:5" ht="15" hidden="1">
      <c r="A976" s="172" t="s">
        <v>93</v>
      </c>
      <c r="B976" s="82" t="s">
        <v>94</v>
      </c>
      <c r="C976" s="81" t="s">
        <v>95</v>
      </c>
      <c r="D976" s="84"/>
      <c r="E976" s="414">
        <f>(E971/E975)*100-100</f>
        <v>-0.6400972280352022</v>
      </c>
    </row>
    <row r="977" spans="1:5" ht="15" hidden="1">
      <c r="A977" s="172" t="s">
        <v>96</v>
      </c>
      <c r="B977" s="83" t="s">
        <v>97</v>
      </c>
      <c r="C977" s="85" t="s">
        <v>98</v>
      </c>
      <c r="D977" s="86"/>
      <c r="E977" s="415">
        <v>2.8</v>
      </c>
    </row>
    <row r="978" spans="1:5" ht="15" hidden="1">
      <c r="A978" s="172" t="s">
        <v>99</v>
      </c>
      <c r="B978" s="83" t="s">
        <v>100</v>
      </c>
      <c r="C978" s="80" t="s">
        <v>98</v>
      </c>
      <c r="D978" s="62"/>
      <c r="E978" s="415">
        <v>2.3</v>
      </c>
    </row>
    <row r="979" spans="1:5" ht="15.75" hidden="1" thickBot="1">
      <c r="A979" s="22" t="s">
        <v>101</v>
      </c>
      <c r="B979" s="23" t="s">
        <v>102</v>
      </c>
      <c r="C979" s="173" t="s">
        <v>98</v>
      </c>
      <c r="D979" s="174"/>
      <c r="E979" s="416">
        <v>0</v>
      </c>
    </row>
    <row r="980" ht="15" hidden="1"/>
    <row r="981" ht="15" hidden="1"/>
    <row r="982" ht="15" hidden="1"/>
    <row r="983" ht="15" hidden="1">
      <c r="B983" s="161"/>
    </row>
    <row r="984" spans="1:5" ht="15" hidden="1">
      <c r="A984" s="155"/>
      <c r="B984" s="155"/>
      <c r="C984" s="155"/>
      <c r="D984" s="155"/>
      <c r="E984" s="334"/>
    </row>
    <row r="985" spans="1:5" ht="15" hidden="1">
      <c r="A985" s="155"/>
      <c r="B985" s="155"/>
      <c r="C985" s="155"/>
      <c r="D985" s="155"/>
      <c r="E985" s="334"/>
    </row>
    <row r="986" ht="15" hidden="1"/>
    <row r="987" ht="15" hidden="1"/>
    <row r="988" ht="15" hidden="1"/>
    <row r="989" ht="15" hidden="1"/>
    <row r="990" ht="15" hidden="1"/>
    <row r="991" ht="15" hidden="1"/>
    <row r="992" ht="15" hidden="1"/>
    <row r="993" ht="15" hidden="1"/>
    <row r="994" ht="15" hidden="1"/>
    <row r="995" ht="15" hidden="1"/>
    <row r="996" ht="15" hidden="1"/>
    <row r="997" spans="2:4" ht="15" hidden="1">
      <c r="B997" t="s">
        <v>144</v>
      </c>
      <c r="C997" t="s">
        <v>148</v>
      </c>
      <c r="D997" s="101" t="s">
        <v>145</v>
      </c>
    </row>
    <row r="998" ht="15" hidden="1">
      <c r="C998" s="108" t="s">
        <v>149</v>
      </c>
    </row>
    <row r="999" ht="15" hidden="1"/>
    <row r="1000" ht="15" hidden="1"/>
    <row r="1001" ht="15" hidden="1"/>
    <row r="1002" spans="1:5" ht="15" hidden="1">
      <c r="A1002" s="87" t="s">
        <v>0</v>
      </c>
      <c r="B1002" s="87"/>
      <c r="C1002" s="87"/>
      <c r="D1002" s="87"/>
      <c r="E1002" s="334" t="s">
        <v>107</v>
      </c>
    </row>
    <row r="1003" spans="1:5" ht="15" hidden="1">
      <c r="A1003" s="87" t="s">
        <v>1</v>
      </c>
      <c r="B1003" s="87"/>
      <c r="C1003" s="87"/>
      <c r="D1003" s="87" t="s">
        <v>133</v>
      </c>
      <c r="E1003" s="373"/>
    </row>
    <row r="1004" spans="1:5" ht="15" hidden="1">
      <c r="A1004" s="87" t="s">
        <v>2</v>
      </c>
      <c r="B1004" s="87"/>
      <c r="C1004" s="87"/>
      <c r="D1004" s="87" t="s">
        <v>122</v>
      </c>
      <c r="E1004" s="374"/>
    </row>
    <row r="1005" spans="1:5" ht="15" hidden="1">
      <c r="A1005" s="87" t="s">
        <v>3</v>
      </c>
      <c r="B1005" s="87"/>
      <c r="C1005" s="87"/>
      <c r="D1005" s="87" t="s">
        <v>123</v>
      </c>
      <c r="E1005" s="373"/>
    </row>
    <row r="1006" spans="1:5" ht="15" hidden="1">
      <c r="A1006" s="87" t="s">
        <v>4</v>
      </c>
      <c r="B1006" s="87"/>
      <c r="C1006" s="87"/>
      <c r="D1006" s="87" t="s">
        <v>124</v>
      </c>
      <c r="E1006" s="373"/>
    </row>
    <row r="1007" spans="1:5" ht="15" hidden="1">
      <c r="A1007" s="107" t="s">
        <v>147</v>
      </c>
      <c r="B1007" s="87"/>
      <c r="C1007" s="87"/>
      <c r="D1007" s="87"/>
      <c r="E1007" s="373"/>
    </row>
    <row r="1008" spans="1:5" ht="15" hidden="1">
      <c r="A1008" s="87" t="s">
        <v>5</v>
      </c>
      <c r="B1008" s="87"/>
      <c r="C1008" s="87"/>
      <c r="D1008" s="87" t="s">
        <v>125</v>
      </c>
      <c r="E1008" s="373"/>
    </row>
    <row r="1009" spans="1:5" ht="15" hidden="1">
      <c r="A1009" s="1"/>
      <c r="B1009" s="1"/>
      <c r="C1009" s="1"/>
      <c r="D1009" s="1"/>
      <c r="E1009" s="316"/>
    </row>
    <row r="1010" spans="1:4" ht="15.75" hidden="1">
      <c r="A1010" s="96"/>
      <c r="B1010" s="96" t="s">
        <v>195</v>
      </c>
      <c r="C1010" s="2"/>
      <c r="D1010" s="2"/>
    </row>
    <row r="1011" spans="1:4" ht="15.75" hidden="1">
      <c r="A1011" s="96"/>
      <c r="B1011" s="96"/>
      <c r="C1011" s="105">
        <v>41813</v>
      </c>
      <c r="D1011" s="2"/>
    </row>
    <row r="1012" spans="1:4" ht="15.75" hidden="1">
      <c r="A1012" s="96"/>
      <c r="B1012" s="96"/>
      <c r="C1012" s="106" t="s">
        <v>146</v>
      </c>
      <c r="D1012" s="2"/>
    </row>
    <row r="1013" spans="1:5" ht="15" hidden="1">
      <c r="A1013" s="2" t="s">
        <v>6</v>
      </c>
      <c r="B1013" s="2"/>
      <c r="C1013" s="2"/>
      <c r="D1013" s="2"/>
      <c r="E1013" s="376"/>
    </row>
    <row r="1014" spans="1:5" ht="15" hidden="1">
      <c r="A1014" s="1" t="s">
        <v>174</v>
      </c>
      <c r="B1014" s="1"/>
      <c r="C1014" s="1"/>
      <c r="D1014" s="1"/>
      <c r="E1014" s="316"/>
    </row>
    <row r="1015" spans="1:5" ht="15" hidden="1">
      <c r="A1015" s="1" t="s">
        <v>7</v>
      </c>
      <c r="B1015" s="1"/>
      <c r="C1015" s="1"/>
      <c r="D1015" s="1"/>
      <c r="E1015" s="316"/>
    </row>
    <row r="1016" spans="1:5" ht="15.75" hidden="1" thickBot="1">
      <c r="A1016" s="177" t="s">
        <v>191</v>
      </c>
      <c r="B1016" s="177"/>
      <c r="C1016" s="177"/>
      <c r="D1016" s="177"/>
      <c r="E1016" s="418"/>
    </row>
    <row r="1017" spans="1:5" ht="15" hidden="1">
      <c r="A1017" s="117" t="s">
        <v>8</v>
      </c>
      <c r="B1017" s="118" t="s">
        <v>9</v>
      </c>
      <c r="C1017" s="118" t="s">
        <v>10</v>
      </c>
      <c r="D1017" s="118" t="s">
        <v>11</v>
      </c>
      <c r="E1017" s="397" t="s">
        <v>12</v>
      </c>
    </row>
    <row r="1018" spans="1:5" ht="15" hidden="1">
      <c r="A1018" s="121">
        <v>1</v>
      </c>
      <c r="B1018" s="24">
        <v>2</v>
      </c>
      <c r="C1018" s="24">
        <v>3</v>
      </c>
      <c r="D1018" s="24">
        <v>4</v>
      </c>
      <c r="E1018" s="398">
        <v>5</v>
      </c>
    </row>
    <row r="1019" spans="1:5" ht="15" hidden="1">
      <c r="A1019" s="162" t="s">
        <v>13</v>
      </c>
      <c r="B1019" s="26" t="s">
        <v>14</v>
      </c>
      <c r="C1019" s="26"/>
      <c r="D1019" s="26"/>
      <c r="E1019" s="399"/>
    </row>
    <row r="1020" spans="1:5" ht="17.25" hidden="1">
      <c r="A1020" s="162" t="s">
        <v>15</v>
      </c>
      <c r="B1020" s="88" t="s">
        <v>138</v>
      </c>
      <c r="C1020" s="9" t="s">
        <v>59</v>
      </c>
      <c r="D1020" s="163" t="s">
        <v>134</v>
      </c>
      <c r="E1020" s="400">
        <f>E1021+E1022</f>
        <v>18.659391880017843</v>
      </c>
    </row>
    <row r="1021" spans="1:5" ht="18.75" hidden="1">
      <c r="A1021" s="164" t="s">
        <v>16</v>
      </c>
      <c r="B1021" s="24" t="s">
        <v>18</v>
      </c>
      <c r="C1021" s="11" t="s">
        <v>59</v>
      </c>
      <c r="D1021" s="77" t="s">
        <v>126</v>
      </c>
      <c r="E1021" s="381">
        <v>4.57</v>
      </c>
    </row>
    <row r="1022" spans="1:5" ht="33" hidden="1">
      <c r="A1022" s="165" t="s">
        <v>17</v>
      </c>
      <c r="B1022" s="104" t="s">
        <v>19</v>
      </c>
      <c r="C1022" s="27" t="s">
        <v>59</v>
      </c>
      <c r="D1022" s="28" t="s">
        <v>188</v>
      </c>
      <c r="E1022" s="401">
        <f>0.29+((4325*E1027+226*E1035+106.1*E1031+509*E1039)/(44.84*1000))/10</f>
        <v>14.08939188001784</v>
      </c>
    </row>
    <row r="1023" spans="1:5" ht="15" hidden="1">
      <c r="A1023" s="164" t="s">
        <v>21</v>
      </c>
      <c r="B1023" s="30" t="s">
        <v>22</v>
      </c>
      <c r="C1023" s="31"/>
      <c r="D1023" s="33"/>
      <c r="E1023" s="402"/>
    </row>
    <row r="1024" spans="1:5" ht="15" hidden="1">
      <c r="A1024" s="166" t="s">
        <v>23</v>
      </c>
      <c r="B1024" s="48" t="s">
        <v>24</v>
      </c>
      <c r="C1024" s="49"/>
      <c r="D1024" s="49"/>
      <c r="E1024" s="403"/>
    </row>
    <row r="1025" spans="1:5" ht="15" hidden="1">
      <c r="A1025" s="164" t="s">
        <v>25</v>
      </c>
      <c r="B1025" s="24" t="s">
        <v>26</v>
      </c>
      <c r="C1025" s="32" t="s">
        <v>41</v>
      </c>
      <c r="D1025" s="24"/>
      <c r="E1025" s="404">
        <v>996.42</v>
      </c>
    </row>
    <row r="1026" spans="1:5" ht="15" hidden="1">
      <c r="A1026" s="164" t="s">
        <v>27</v>
      </c>
      <c r="B1026" s="24" t="s">
        <v>28</v>
      </c>
      <c r="C1026" s="5" t="s">
        <v>41</v>
      </c>
      <c r="D1026" s="24"/>
      <c r="E1026" s="398">
        <v>313.23</v>
      </c>
    </row>
    <row r="1027" spans="1:5" ht="15" hidden="1">
      <c r="A1027" s="164" t="s">
        <v>29</v>
      </c>
      <c r="B1027" s="38" t="s">
        <v>30</v>
      </c>
      <c r="C1027" s="39" t="s">
        <v>41</v>
      </c>
      <c r="D1027" s="24"/>
      <c r="E1027" s="405">
        <f>E1025+E1026</f>
        <v>1309.65</v>
      </c>
    </row>
    <row r="1028" spans="1:5" ht="15" hidden="1">
      <c r="A1028" s="167" t="s">
        <v>31</v>
      </c>
      <c r="B1028" s="41" t="s">
        <v>177</v>
      </c>
      <c r="C1028" s="42"/>
      <c r="D1028" s="42"/>
      <c r="E1028" s="406"/>
    </row>
    <row r="1029" spans="1:5" ht="15" hidden="1">
      <c r="A1029" s="164" t="s">
        <v>35</v>
      </c>
      <c r="B1029" s="24" t="s">
        <v>26</v>
      </c>
      <c r="C1029" s="40" t="s">
        <v>33</v>
      </c>
      <c r="D1029" s="24"/>
      <c r="E1029" s="404"/>
    </row>
    <row r="1030" spans="1:5" ht="15" hidden="1">
      <c r="A1030" s="164" t="s">
        <v>36</v>
      </c>
      <c r="B1030" s="24" t="s">
        <v>28</v>
      </c>
      <c r="C1030" s="4" t="s">
        <v>33</v>
      </c>
      <c r="D1030" s="24"/>
      <c r="E1030" s="404"/>
    </row>
    <row r="1031" spans="1:5" ht="15" hidden="1">
      <c r="A1031" s="164" t="s">
        <v>37</v>
      </c>
      <c r="B1031" s="24" t="s">
        <v>30</v>
      </c>
      <c r="C1031" s="43" t="s">
        <v>33</v>
      </c>
      <c r="D1031" s="24"/>
      <c r="E1031" s="405">
        <v>408.99</v>
      </c>
    </row>
    <row r="1032" spans="1:5" ht="15" hidden="1">
      <c r="A1032" s="167" t="s">
        <v>31</v>
      </c>
      <c r="B1032" s="41" t="s">
        <v>178</v>
      </c>
      <c r="C1032" s="42"/>
      <c r="D1032" s="42"/>
      <c r="E1032" s="406"/>
    </row>
    <row r="1033" spans="1:5" ht="15" hidden="1">
      <c r="A1033" s="164" t="s">
        <v>35</v>
      </c>
      <c r="B1033" s="24" t="s">
        <v>26</v>
      </c>
      <c r="C1033" s="40" t="s">
        <v>33</v>
      </c>
      <c r="D1033" s="24"/>
      <c r="E1033" s="404"/>
    </row>
    <row r="1034" spans="1:5" ht="15" hidden="1">
      <c r="A1034" s="164" t="s">
        <v>36</v>
      </c>
      <c r="B1034" s="24" t="s">
        <v>28</v>
      </c>
      <c r="C1034" s="4" t="s">
        <v>33</v>
      </c>
      <c r="D1034" s="24"/>
      <c r="E1034" s="404"/>
    </row>
    <row r="1035" spans="1:5" ht="15" hidden="1">
      <c r="A1035" s="164" t="s">
        <v>37</v>
      </c>
      <c r="B1035" s="24" t="s">
        <v>30</v>
      </c>
      <c r="C1035" s="43" t="s">
        <v>33</v>
      </c>
      <c r="D1035" s="24"/>
      <c r="E1035" s="405">
        <v>360.24</v>
      </c>
    </row>
    <row r="1036" spans="1:5" ht="15" hidden="1">
      <c r="A1036" s="168" t="s">
        <v>34</v>
      </c>
      <c r="B1036" s="45" t="s">
        <v>103</v>
      </c>
      <c r="C1036" s="46"/>
      <c r="D1036" s="46"/>
      <c r="E1036" s="407"/>
    </row>
    <row r="1037" spans="1:5" ht="15" hidden="1">
      <c r="A1037" s="169" t="s">
        <v>38</v>
      </c>
      <c r="B1037" s="44" t="s">
        <v>26</v>
      </c>
      <c r="C1037" s="40" t="s">
        <v>33</v>
      </c>
      <c r="D1037" s="24"/>
      <c r="E1037" s="404" t="e">
        <f>#REF!</f>
        <v>#REF!</v>
      </c>
    </row>
    <row r="1038" spans="1:5" ht="15" hidden="1">
      <c r="A1038" s="169" t="s">
        <v>39</v>
      </c>
      <c r="B1038" s="24" t="s">
        <v>28</v>
      </c>
      <c r="C1038" s="4" t="s">
        <v>33</v>
      </c>
      <c r="D1038" s="24"/>
      <c r="E1038" s="398"/>
    </row>
    <row r="1039" spans="1:5" ht="15" hidden="1">
      <c r="A1039" s="21" t="s">
        <v>40</v>
      </c>
      <c r="B1039" s="38" t="s">
        <v>30</v>
      </c>
      <c r="C1039" s="43" t="s">
        <v>33</v>
      </c>
      <c r="D1039" s="24"/>
      <c r="E1039" s="405">
        <v>783.11</v>
      </c>
    </row>
    <row r="1040" spans="1:5" ht="15" hidden="1">
      <c r="A1040" s="170" t="s">
        <v>42</v>
      </c>
      <c r="B1040" s="51" t="s">
        <v>43</v>
      </c>
      <c r="C1040" s="52"/>
      <c r="D1040" s="52"/>
      <c r="E1040" s="408"/>
    </row>
    <row r="1041" spans="1:5" ht="15" hidden="1">
      <c r="A1041" s="121" t="s">
        <v>44</v>
      </c>
      <c r="B1041" s="24" t="s">
        <v>104</v>
      </c>
      <c r="C1041" s="24"/>
      <c r="D1041" s="24"/>
      <c r="E1041" s="409" t="s">
        <v>106</v>
      </c>
    </row>
    <row r="1042" spans="1:5" ht="15" hidden="1">
      <c r="A1042" s="121" t="s">
        <v>45</v>
      </c>
      <c r="B1042" s="24" t="s">
        <v>105</v>
      </c>
      <c r="C1042" s="11" t="s">
        <v>59</v>
      </c>
      <c r="D1042" s="24"/>
      <c r="E1042" s="398">
        <v>0</v>
      </c>
    </row>
    <row r="1043" spans="1:5" ht="17.25" hidden="1">
      <c r="A1043" s="171" t="s">
        <v>46</v>
      </c>
      <c r="B1043" s="91" t="s">
        <v>127</v>
      </c>
      <c r="C1043" s="94" t="s">
        <v>59</v>
      </c>
      <c r="D1043" s="95" t="s">
        <v>136</v>
      </c>
      <c r="E1043" s="417">
        <f>E1044+E1045</f>
        <v>18.659391880017843</v>
      </c>
    </row>
    <row r="1044" spans="1:5" ht="18.75" hidden="1">
      <c r="A1044" s="121" t="s">
        <v>48</v>
      </c>
      <c r="B1044" s="24" t="s">
        <v>49</v>
      </c>
      <c r="C1044" s="53" t="s">
        <v>59</v>
      </c>
      <c r="D1044" s="77" t="s">
        <v>128</v>
      </c>
      <c r="E1044" s="404">
        <f>E1021</f>
        <v>4.57</v>
      </c>
    </row>
    <row r="1045" spans="1:5" ht="33" hidden="1">
      <c r="A1045" s="165" t="s">
        <v>50</v>
      </c>
      <c r="B1045" s="35" t="s">
        <v>51</v>
      </c>
      <c r="C1045" s="27" t="s">
        <v>59</v>
      </c>
      <c r="D1045" s="54" t="s">
        <v>188</v>
      </c>
      <c r="E1045" s="411">
        <f>E1022</f>
        <v>14.08939188001784</v>
      </c>
    </row>
    <row r="1046" spans="1:5" ht="15" hidden="1">
      <c r="A1046" s="121" t="s">
        <v>52</v>
      </c>
      <c r="B1046" s="55" t="s">
        <v>53</v>
      </c>
      <c r="C1046" s="33"/>
      <c r="D1046" s="33"/>
      <c r="E1046" s="402"/>
    </row>
    <row r="1047" spans="1:5" ht="15" hidden="1">
      <c r="A1047" s="121" t="s">
        <v>54</v>
      </c>
      <c r="B1047" s="24" t="s">
        <v>55</v>
      </c>
      <c r="C1047" s="11" t="s">
        <v>56</v>
      </c>
      <c r="D1047" s="24"/>
      <c r="E1047" s="398">
        <v>33.34</v>
      </c>
    </row>
    <row r="1048" spans="1:5" ht="15" hidden="1">
      <c r="A1048" s="121" t="s">
        <v>57</v>
      </c>
      <c r="B1048" s="24" t="s">
        <v>58</v>
      </c>
      <c r="C1048" s="11" t="s">
        <v>59</v>
      </c>
      <c r="D1048" s="56" t="s">
        <v>47</v>
      </c>
      <c r="E1048" s="404">
        <f>E1045</f>
        <v>14.08939188001784</v>
      </c>
    </row>
    <row r="1049" spans="1:5" ht="15" hidden="1">
      <c r="A1049" s="162" t="s">
        <v>60</v>
      </c>
      <c r="B1049" s="559" t="s">
        <v>61</v>
      </c>
      <c r="C1049" s="560"/>
      <c r="D1049" s="560"/>
      <c r="E1049" s="561"/>
    </row>
    <row r="1050" spans="1:5" ht="17.25" hidden="1">
      <c r="A1050" s="12" t="s">
        <v>62</v>
      </c>
      <c r="B1050" s="16" t="s">
        <v>137</v>
      </c>
      <c r="C1050" s="9" t="s">
        <v>59</v>
      </c>
      <c r="D1050" s="95" t="s">
        <v>135</v>
      </c>
      <c r="E1050" s="400">
        <f>E1051+E1052</f>
        <v>6.442925457748117</v>
      </c>
    </row>
    <row r="1051" spans="1:5" ht="18.75" hidden="1">
      <c r="A1051" s="13" t="s">
        <v>63</v>
      </c>
      <c r="B1051" s="14" t="s">
        <v>64</v>
      </c>
      <c r="C1051" s="11" t="s">
        <v>59</v>
      </c>
      <c r="D1051" s="77" t="s">
        <v>129</v>
      </c>
      <c r="E1051" s="398">
        <v>2.44</v>
      </c>
    </row>
    <row r="1052" spans="1:5" ht="18.75" hidden="1">
      <c r="A1052" s="13" t="s">
        <v>65</v>
      </c>
      <c r="B1052" s="15" t="s">
        <v>66</v>
      </c>
      <c r="C1052" s="20"/>
      <c r="D1052" s="178" t="s">
        <v>189</v>
      </c>
      <c r="E1052" s="404">
        <f>0.41+(7.24*E1020/37.6)</f>
        <v>4.002925457748117</v>
      </c>
    </row>
    <row r="1053" spans="1:5" ht="15" hidden="1">
      <c r="A1053" s="12" t="s">
        <v>67</v>
      </c>
      <c r="B1053" s="16" t="s">
        <v>68</v>
      </c>
      <c r="C1053" s="9"/>
      <c r="D1053" s="24"/>
      <c r="E1053" s="398"/>
    </row>
    <row r="1054" spans="1:5" ht="15" hidden="1">
      <c r="A1054" s="12" t="s">
        <v>69</v>
      </c>
      <c r="B1054" s="17" t="s">
        <v>55</v>
      </c>
      <c r="C1054" s="10" t="s">
        <v>56</v>
      </c>
      <c r="D1054" s="24"/>
      <c r="E1054" s="404">
        <v>16.1</v>
      </c>
    </row>
    <row r="1055" spans="1:5" ht="18.75" hidden="1">
      <c r="A1055" s="12" t="s">
        <v>70</v>
      </c>
      <c r="B1055" s="17" t="s">
        <v>71</v>
      </c>
      <c r="C1055" s="11" t="s">
        <v>59</v>
      </c>
      <c r="D1055" s="77" t="s">
        <v>131</v>
      </c>
      <c r="E1055" s="404">
        <f>E1052</f>
        <v>4.002925457748117</v>
      </c>
    </row>
    <row r="1056" spans="1:5" ht="15" hidden="1">
      <c r="A1056" s="172" t="s">
        <v>72</v>
      </c>
      <c r="B1056" s="562" t="s">
        <v>73</v>
      </c>
      <c r="C1056" s="563"/>
      <c r="D1056" s="563"/>
      <c r="E1056" s="564"/>
    </row>
    <row r="1057" spans="1:5" ht="15" hidden="1">
      <c r="A1057" s="557" t="s">
        <v>79</v>
      </c>
      <c r="B1057" s="18" t="s">
        <v>74</v>
      </c>
      <c r="C1057" s="11" t="s">
        <v>59</v>
      </c>
      <c r="D1057" s="79" t="s">
        <v>106</v>
      </c>
      <c r="E1057" s="412">
        <v>0.31</v>
      </c>
    </row>
    <row r="1058" spans="1:5" ht="15" hidden="1">
      <c r="A1058" s="558"/>
      <c r="B1058" s="19" t="s">
        <v>75</v>
      </c>
      <c r="C1058" s="53" t="s">
        <v>76</v>
      </c>
      <c r="D1058" s="79" t="s">
        <v>106</v>
      </c>
      <c r="E1058" s="412">
        <v>2.34</v>
      </c>
    </row>
    <row r="1059" spans="1:5" ht="15.75" hidden="1" thickBot="1">
      <c r="A1059" s="558"/>
      <c r="B1059" s="19" t="s">
        <v>77</v>
      </c>
      <c r="C1059" s="78" t="s">
        <v>78</v>
      </c>
      <c r="D1059" s="79" t="s">
        <v>106</v>
      </c>
      <c r="E1059" s="412">
        <v>46.34</v>
      </c>
    </row>
    <row r="1060" spans="1:5" ht="15" hidden="1">
      <c r="A1060" s="172" t="s">
        <v>80</v>
      </c>
      <c r="B1060" s="82" t="s">
        <v>81</v>
      </c>
      <c r="C1060" s="11" t="s">
        <v>59</v>
      </c>
      <c r="D1060" s="62"/>
      <c r="E1060" s="412">
        <v>-0.07</v>
      </c>
    </row>
    <row r="1061" spans="1:5" ht="15" hidden="1">
      <c r="A1061" s="172" t="s">
        <v>82</v>
      </c>
      <c r="B1061" s="82" t="s">
        <v>83</v>
      </c>
      <c r="C1061" s="11" t="s">
        <v>59</v>
      </c>
      <c r="D1061" s="62"/>
      <c r="E1061" s="412">
        <v>-0.14</v>
      </c>
    </row>
    <row r="1062" spans="1:5" ht="15" hidden="1">
      <c r="A1062" s="172" t="s">
        <v>84</v>
      </c>
      <c r="B1062" s="82" t="s">
        <v>179</v>
      </c>
      <c r="C1062" s="11" t="s">
        <v>59</v>
      </c>
      <c r="D1062" s="62"/>
      <c r="E1062" s="413">
        <f>E1043+E1050+E1057+E1060+E1061</f>
        <v>25.202317337765958</v>
      </c>
    </row>
    <row r="1063" spans="1:5" ht="15" hidden="1">
      <c r="A1063" s="172" t="s">
        <v>85</v>
      </c>
      <c r="B1063" s="82" t="s">
        <v>86</v>
      </c>
      <c r="C1063" s="11" t="s">
        <v>59</v>
      </c>
      <c r="D1063" s="62"/>
      <c r="E1063" s="412">
        <v>0</v>
      </c>
    </row>
    <row r="1064" spans="1:5" ht="15" hidden="1">
      <c r="A1064" s="172" t="s">
        <v>87</v>
      </c>
      <c r="B1064" s="82" t="s">
        <v>88</v>
      </c>
      <c r="C1064" s="9" t="s">
        <v>59</v>
      </c>
      <c r="D1064" s="84"/>
      <c r="E1064" s="413">
        <f>E1062</f>
        <v>25.202317337765958</v>
      </c>
    </row>
    <row r="1065" spans="1:5" ht="15" hidden="1">
      <c r="A1065" s="172" t="s">
        <v>89</v>
      </c>
      <c r="B1065" s="82" t="s">
        <v>90</v>
      </c>
      <c r="C1065" s="9" t="s">
        <v>59</v>
      </c>
      <c r="D1065" s="84"/>
      <c r="E1065" s="414">
        <f>E1064*1.09</f>
        <v>27.470525898164897</v>
      </c>
    </row>
    <row r="1066" spans="1:5" ht="15" hidden="1">
      <c r="A1066" s="172" t="s">
        <v>91</v>
      </c>
      <c r="B1066" s="82" t="s">
        <v>92</v>
      </c>
      <c r="C1066" s="9" t="s">
        <v>59</v>
      </c>
      <c r="D1066" s="84"/>
      <c r="E1066" s="414">
        <f>E973</f>
        <v>27.771551944148936</v>
      </c>
    </row>
    <row r="1067" spans="1:5" ht="15" hidden="1">
      <c r="A1067" s="172" t="s">
        <v>93</v>
      </c>
      <c r="B1067" s="82" t="s">
        <v>94</v>
      </c>
      <c r="C1067" s="81" t="s">
        <v>95</v>
      </c>
      <c r="D1067" s="84"/>
      <c r="E1067" s="414">
        <f>(E1062/E1066)*100-100</f>
        <v>-9.25131808099863</v>
      </c>
    </row>
    <row r="1068" spans="1:5" ht="15" hidden="1">
      <c r="A1068" s="172" t="s">
        <v>96</v>
      </c>
      <c r="B1068" s="83" t="s">
        <v>97</v>
      </c>
      <c r="C1068" s="85" t="s">
        <v>98</v>
      </c>
      <c r="D1068" s="86"/>
      <c r="E1068" s="415">
        <v>1.2</v>
      </c>
    </row>
    <row r="1069" spans="1:5" ht="15" hidden="1">
      <c r="A1069" s="172" t="s">
        <v>99</v>
      </c>
      <c r="B1069" s="83" t="s">
        <v>100</v>
      </c>
      <c r="C1069" s="80" t="s">
        <v>98</v>
      </c>
      <c r="D1069" s="62"/>
      <c r="E1069" s="415">
        <v>0.7</v>
      </c>
    </row>
    <row r="1070" spans="1:5" ht="15.75" hidden="1" thickBot="1">
      <c r="A1070" s="22" t="s">
        <v>101</v>
      </c>
      <c r="B1070" s="23" t="s">
        <v>102</v>
      </c>
      <c r="C1070" s="173" t="s">
        <v>98</v>
      </c>
      <c r="D1070" s="174"/>
      <c r="E1070" s="416">
        <v>0</v>
      </c>
    </row>
    <row r="1071" ht="15" hidden="1"/>
    <row r="1072" ht="15" hidden="1"/>
    <row r="1073" ht="15" hidden="1"/>
    <row r="1074" ht="15" hidden="1">
      <c r="B1074" s="161"/>
    </row>
    <row r="1075" spans="1:5" ht="15" hidden="1">
      <c r="A1075" s="155"/>
      <c r="B1075" s="155"/>
      <c r="C1075" s="155"/>
      <c r="D1075" s="155"/>
      <c r="E1075" s="334"/>
    </row>
    <row r="1076" spans="1:5" ht="15" hidden="1">
      <c r="A1076" s="155"/>
      <c r="B1076" s="155"/>
      <c r="C1076" s="155"/>
      <c r="D1076" s="155"/>
      <c r="E1076" s="334"/>
    </row>
    <row r="1077" ht="15" hidden="1"/>
    <row r="1078" ht="15" hidden="1"/>
    <row r="1079" ht="15" hidden="1"/>
    <row r="1080" ht="15" hidden="1"/>
    <row r="1081" ht="15" hidden="1"/>
    <row r="1082" ht="15" hidden="1"/>
    <row r="1083" ht="15" hidden="1"/>
    <row r="1084" ht="15" hidden="1"/>
    <row r="1085" ht="15" hidden="1"/>
    <row r="1086" ht="15" hidden="1"/>
    <row r="1087" ht="15" hidden="1"/>
    <row r="1088" spans="2:4" ht="15" hidden="1">
      <c r="B1088" t="s">
        <v>144</v>
      </c>
      <c r="C1088" t="s">
        <v>148</v>
      </c>
      <c r="D1088" s="101" t="s">
        <v>145</v>
      </c>
    </row>
    <row r="1089" ht="15" hidden="1">
      <c r="C1089" s="108" t="s">
        <v>149</v>
      </c>
    </row>
    <row r="1090" ht="15" hidden="1"/>
    <row r="1091" ht="15" hidden="1"/>
    <row r="1092" ht="15" hidden="1"/>
    <row r="1093" spans="1:5" ht="15" hidden="1">
      <c r="A1093" s="87" t="s">
        <v>0</v>
      </c>
      <c r="B1093" s="87"/>
      <c r="C1093" s="87"/>
      <c r="D1093" s="87"/>
      <c r="E1093" s="334" t="s">
        <v>107</v>
      </c>
    </row>
    <row r="1094" spans="1:5" ht="15" hidden="1">
      <c r="A1094" s="87" t="s">
        <v>1</v>
      </c>
      <c r="B1094" s="87"/>
      <c r="C1094" s="87"/>
      <c r="D1094" s="87" t="s">
        <v>133</v>
      </c>
      <c r="E1094" s="373"/>
    </row>
    <row r="1095" spans="1:5" ht="15" hidden="1">
      <c r="A1095" s="87" t="s">
        <v>2</v>
      </c>
      <c r="B1095" s="87"/>
      <c r="C1095" s="87"/>
      <c r="D1095" s="87" t="s">
        <v>122</v>
      </c>
      <c r="E1095" s="374"/>
    </row>
    <row r="1096" spans="1:5" ht="15" hidden="1">
      <c r="A1096" s="87" t="s">
        <v>3</v>
      </c>
      <c r="B1096" s="87"/>
      <c r="C1096" s="87"/>
      <c r="D1096" s="87" t="s">
        <v>123</v>
      </c>
      <c r="E1096" s="373"/>
    </row>
    <row r="1097" spans="1:5" ht="15" hidden="1">
      <c r="A1097" s="87" t="s">
        <v>4</v>
      </c>
      <c r="B1097" s="87"/>
      <c r="C1097" s="87"/>
      <c r="D1097" s="87" t="s">
        <v>124</v>
      </c>
      <c r="E1097" s="373"/>
    </row>
    <row r="1098" spans="1:5" ht="15" hidden="1">
      <c r="A1098" s="107" t="s">
        <v>147</v>
      </c>
      <c r="B1098" s="87"/>
      <c r="C1098" s="87"/>
      <c r="D1098" s="87"/>
      <c r="E1098" s="373"/>
    </row>
    <row r="1099" spans="1:5" ht="15" hidden="1">
      <c r="A1099" s="87" t="s">
        <v>5</v>
      </c>
      <c r="B1099" s="87"/>
      <c r="C1099" s="87"/>
      <c r="D1099" s="87" t="s">
        <v>125</v>
      </c>
      <c r="E1099" s="373"/>
    </row>
    <row r="1100" spans="1:5" ht="15" hidden="1">
      <c r="A1100" s="1"/>
      <c r="B1100" s="1"/>
      <c r="C1100" s="1"/>
      <c r="D1100" s="1"/>
      <c r="E1100" s="316"/>
    </row>
    <row r="1101" spans="1:4" ht="15.75" hidden="1">
      <c r="A1101" s="96"/>
      <c r="B1101" s="96" t="s">
        <v>196</v>
      </c>
      <c r="C1101" s="2"/>
      <c r="D1101" s="2"/>
    </row>
    <row r="1102" spans="1:4" ht="15.75" hidden="1">
      <c r="A1102" s="96"/>
      <c r="B1102" s="96"/>
      <c r="C1102" s="179">
        <v>41838</v>
      </c>
      <c r="D1102" s="2"/>
    </row>
    <row r="1103" spans="1:4" ht="15.75" hidden="1">
      <c r="A1103" s="96"/>
      <c r="B1103" s="96"/>
      <c r="C1103" s="106" t="s">
        <v>146</v>
      </c>
      <c r="D1103" s="2"/>
    </row>
    <row r="1104" spans="1:5" ht="15" hidden="1">
      <c r="A1104" s="2" t="s">
        <v>6</v>
      </c>
      <c r="B1104" s="2"/>
      <c r="C1104" s="2"/>
      <c r="D1104" s="2"/>
      <c r="E1104" s="376"/>
    </row>
    <row r="1105" spans="1:5" ht="15" hidden="1">
      <c r="A1105" s="1" t="s">
        <v>174</v>
      </c>
      <c r="B1105" s="1"/>
      <c r="C1105" s="1"/>
      <c r="D1105" s="1"/>
      <c r="E1105" s="316"/>
    </row>
    <row r="1106" spans="1:5" ht="15" hidden="1">
      <c r="A1106" s="1" t="s">
        <v>7</v>
      </c>
      <c r="B1106" s="1"/>
      <c r="C1106" s="1"/>
      <c r="D1106" s="1"/>
      <c r="E1106" s="316"/>
    </row>
    <row r="1107" spans="1:5" ht="15.75" hidden="1" thickBot="1">
      <c r="A1107" s="177" t="s">
        <v>191</v>
      </c>
      <c r="B1107" s="177"/>
      <c r="C1107" s="177"/>
      <c r="D1107" s="177"/>
      <c r="E1107" s="418"/>
    </row>
    <row r="1108" spans="1:5" ht="15" hidden="1">
      <c r="A1108" s="117" t="s">
        <v>8</v>
      </c>
      <c r="B1108" s="118" t="s">
        <v>9</v>
      </c>
      <c r="C1108" s="118" t="s">
        <v>10</v>
      </c>
      <c r="D1108" s="118" t="s">
        <v>11</v>
      </c>
      <c r="E1108" s="397" t="s">
        <v>12</v>
      </c>
    </row>
    <row r="1109" spans="1:5" ht="15" hidden="1">
      <c r="A1109" s="121">
        <v>1</v>
      </c>
      <c r="B1109" s="24">
        <v>2</v>
      </c>
      <c r="C1109" s="24">
        <v>3</v>
      </c>
      <c r="D1109" s="24">
        <v>4</v>
      </c>
      <c r="E1109" s="398">
        <v>5</v>
      </c>
    </row>
    <row r="1110" spans="1:5" ht="15" hidden="1">
      <c r="A1110" s="162" t="s">
        <v>13</v>
      </c>
      <c r="B1110" s="26" t="s">
        <v>14</v>
      </c>
      <c r="C1110" s="26"/>
      <c r="D1110" s="26"/>
      <c r="E1110" s="399"/>
    </row>
    <row r="1111" spans="1:5" ht="17.25" hidden="1">
      <c r="A1111" s="162" t="s">
        <v>15</v>
      </c>
      <c r="B1111" s="88" t="s">
        <v>138</v>
      </c>
      <c r="C1111" s="9" t="s">
        <v>59</v>
      </c>
      <c r="D1111" s="163" t="s">
        <v>134</v>
      </c>
      <c r="E1111" s="400">
        <f>E1112+E1113</f>
        <v>18.622187062890273</v>
      </c>
    </row>
    <row r="1112" spans="1:5" ht="18.75" hidden="1">
      <c r="A1112" s="164" t="s">
        <v>16</v>
      </c>
      <c r="B1112" s="24" t="s">
        <v>18</v>
      </c>
      <c r="C1112" s="11" t="s">
        <v>59</v>
      </c>
      <c r="D1112" s="77" t="s">
        <v>126</v>
      </c>
      <c r="E1112" s="381">
        <v>4.57</v>
      </c>
    </row>
    <row r="1113" spans="1:5" ht="33" hidden="1">
      <c r="A1113" s="165" t="s">
        <v>17</v>
      </c>
      <c r="B1113" s="104" t="s">
        <v>19</v>
      </c>
      <c r="C1113" s="27" t="s">
        <v>59</v>
      </c>
      <c r="D1113" s="28" t="s">
        <v>188</v>
      </c>
      <c r="E1113" s="401">
        <f>0.29+((4325*E1118+226*E1126+106.1*E1122+509*E1130)/(44.84*1000))/10</f>
        <v>14.052187062890273</v>
      </c>
    </row>
    <row r="1114" spans="1:5" ht="15" hidden="1">
      <c r="A1114" s="164" t="s">
        <v>21</v>
      </c>
      <c r="B1114" s="30" t="s">
        <v>22</v>
      </c>
      <c r="C1114" s="31"/>
      <c r="D1114" s="33"/>
      <c r="E1114" s="402"/>
    </row>
    <row r="1115" spans="1:5" ht="15" hidden="1">
      <c r="A1115" s="166" t="s">
        <v>23</v>
      </c>
      <c r="B1115" s="48" t="s">
        <v>24</v>
      </c>
      <c r="C1115" s="49"/>
      <c r="D1115" s="49"/>
      <c r="E1115" s="403"/>
    </row>
    <row r="1116" spans="1:5" ht="15" hidden="1">
      <c r="A1116" s="164" t="s">
        <v>25</v>
      </c>
      <c r="B1116" s="24" t="s">
        <v>26</v>
      </c>
      <c r="C1116" s="32" t="s">
        <v>41</v>
      </c>
      <c r="D1116" s="24"/>
      <c r="E1116" s="404">
        <v>997.19</v>
      </c>
    </row>
    <row r="1117" spans="1:5" ht="15" hidden="1">
      <c r="A1117" s="164" t="s">
        <v>27</v>
      </c>
      <c r="B1117" s="24" t="s">
        <v>28</v>
      </c>
      <c r="C1117" s="5" t="s">
        <v>41</v>
      </c>
      <c r="D1117" s="24"/>
      <c r="E1117" s="398">
        <v>313.23</v>
      </c>
    </row>
    <row r="1118" spans="1:5" ht="15" hidden="1">
      <c r="A1118" s="164" t="s">
        <v>29</v>
      </c>
      <c r="B1118" s="38" t="s">
        <v>30</v>
      </c>
      <c r="C1118" s="39" t="s">
        <v>41</v>
      </c>
      <c r="D1118" s="24"/>
      <c r="E1118" s="405">
        <f>E1116+E1117</f>
        <v>1310.42</v>
      </c>
    </row>
    <row r="1119" spans="1:5" ht="15" hidden="1">
      <c r="A1119" s="167" t="s">
        <v>31</v>
      </c>
      <c r="B1119" s="41" t="s">
        <v>177</v>
      </c>
      <c r="C1119" s="42"/>
      <c r="D1119" s="42"/>
      <c r="E1119" s="406"/>
    </row>
    <row r="1120" spans="1:5" ht="15" hidden="1">
      <c r="A1120" s="164" t="s">
        <v>35</v>
      </c>
      <c r="B1120" s="24" t="s">
        <v>26</v>
      </c>
      <c r="C1120" s="40" t="s">
        <v>33</v>
      </c>
      <c r="D1120" s="24"/>
      <c r="E1120" s="404"/>
    </row>
    <row r="1121" spans="1:5" ht="15" hidden="1">
      <c r="A1121" s="164" t="s">
        <v>36</v>
      </c>
      <c r="B1121" s="24" t="s">
        <v>28</v>
      </c>
      <c r="C1121" s="4" t="s">
        <v>33</v>
      </c>
      <c r="D1121" s="24"/>
      <c r="E1121" s="404"/>
    </row>
    <row r="1122" spans="1:5" ht="15" hidden="1">
      <c r="A1122" s="164" t="s">
        <v>37</v>
      </c>
      <c r="B1122" s="24" t="s">
        <v>30</v>
      </c>
      <c r="C1122" s="43" t="s">
        <v>33</v>
      </c>
      <c r="D1122" s="24"/>
      <c r="E1122" s="405">
        <v>408.99</v>
      </c>
    </row>
    <row r="1123" spans="1:5" ht="15" hidden="1">
      <c r="A1123" s="167" t="s">
        <v>31</v>
      </c>
      <c r="B1123" s="41" t="s">
        <v>178</v>
      </c>
      <c r="C1123" s="42"/>
      <c r="D1123" s="42"/>
      <c r="E1123" s="406"/>
    </row>
    <row r="1124" spans="1:5" ht="15" hidden="1">
      <c r="A1124" s="164" t="s">
        <v>35</v>
      </c>
      <c r="B1124" s="24" t="s">
        <v>26</v>
      </c>
      <c r="C1124" s="40" t="s">
        <v>33</v>
      </c>
      <c r="D1124" s="24"/>
      <c r="E1124" s="404"/>
    </row>
    <row r="1125" spans="1:5" ht="15" hidden="1">
      <c r="A1125" s="164" t="s">
        <v>36</v>
      </c>
      <c r="B1125" s="24" t="s">
        <v>28</v>
      </c>
      <c r="C1125" s="4" t="s">
        <v>33</v>
      </c>
      <c r="D1125" s="24"/>
      <c r="E1125" s="404"/>
    </row>
    <row r="1126" spans="1:5" ht="15" hidden="1">
      <c r="A1126" s="164" t="s">
        <v>37</v>
      </c>
      <c r="B1126" s="24" t="s">
        <v>30</v>
      </c>
      <c r="C1126" s="43" t="s">
        <v>33</v>
      </c>
      <c r="D1126" s="24"/>
      <c r="E1126" s="405">
        <v>363.42</v>
      </c>
    </row>
    <row r="1127" spans="1:5" ht="15" hidden="1">
      <c r="A1127" s="168" t="s">
        <v>34</v>
      </c>
      <c r="B1127" s="45" t="s">
        <v>103</v>
      </c>
      <c r="C1127" s="46"/>
      <c r="D1127" s="46"/>
      <c r="E1127" s="407"/>
    </row>
    <row r="1128" spans="1:5" ht="15" hidden="1">
      <c r="A1128" s="169" t="s">
        <v>38</v>
      </c>
      <c r="B1128" s="44" t="s">
        <v>26</v>
      </c>
      <c r="C1128" s="40" t="s">
        <v>33</v>
      </c>
      <c r="D1128" s="24"/>
      <c r="E1128" s="404" t="e">
        <f>#REF!</f>
        <v>#REF!</v>
      </c>
    </row>
    <row r="1129" spans="1:5" ht="15" hidden="1">
      <c r="A1129" s="169" t="s">
        <v>39</v>
      </c>
      <c r="B1129" s="24" t="s">
        <v>28</v>
      </c>
      <c r="C1129" s="4" t="s">
        <v>33</v>
      </c>
      <c r="D1129" s="24"/>
      <c r="E1129" s="398"/>
    </row>
    <row r="1130" spans="1:5" ht="15" hidden="1">
      <c r="A1130" s="21" t="s">
        <v>40</v>
      </c>
      <c r="B1130" s="38" t="s">
        <v>30</v>
      </c>
      <c r="C1130" s="43" t="s">
        <v>33</v>
      </c>
      <c r="D1130" s="24"/>
      <c r="E1130" s="405">
        <v>742.38</v>
      </c>
    </row>
    <row r="1131" spans="1:5" ht="15" hidden="1">
      <c r="A1131" s="170" t="s">
        <v>42</v>
      </c>
      <c r="B1131" s="51" t="s">
        <v>43</v>
      </c>
      <c r="C1131" s="52"/>
      <c r="D1131" s="52"/>
      <c r="E1131" s="408"/>
    </row>
    <row r="1132" spans="1:5" ht="15" hidden="1">
      <c r="A1132" s="121" t="s">
        <v>44</v>
      </c>
      <c r="B1132" s="24" t="s">
        <v>104</v>
      </c>
      <c r="C1132" s="24"/>
      <c r="D1132" s="24"/>
      <c r="E1132" s="409" t="s">
        <v>106</v>
      </c>
    </row>
    <row r="1133" spans="1:5" ht="15" hidden="1">
      <c r="A1133" s="121" t="s">
        <v>45</v>
      </c>
      <c r="B1133" s="24" t="s">
        <v>105</v>
      </c>
      <c r="C1133" s="11" t="s">
        <v>59</v>
      </c>
      <c r="D1133" s="24"/>
      <c r="E1133" s="398">
        <v>0</v>
      </c>
    </row>
    <row r="1134" spans="1:5" ht="17.25" hidden="1">
      <c r="A1134" s="171" t="s">
        <v>46</v>
      </c>
      <c r="B1134" s="91" t="s">
        <v>127</v>
      </c>
      <c r="C1134" s="94" t="s">
        <v>59</v>
      </c>
      <c r="D1134" s="95" t="s">
        <v>136</v>
      </c>
      <c r="E1134" s="417">
        <f>E1135+E1136</f>
        <v>18.622187062890273</v>
      </c>
    </row>
    <row r="1135" spans="1:5" ht="18.75" hidden="1">
      <c r="A1135" s="121" t="s">
        <v>48</v>
      </c>
      <c r="B1135" s="24" t="s">
        <v>49</v>
      </c>
      <c r="C1135" s="53" t="s">
        <v>59</v>
      </c>
      <c r="D1135" s="77" t="s">
        <v>128</v>
      </c>
      <c r="E1135" s="404">
        <f>E1112</f>
        <v>4.57</v>
      </c>
    </row>
    <row r="1136" spans="1:5" ht="33" hidden="1">
      <c r="A1136" s="165" t="s">
        <v>50</v>
      </c>
      <c r="B1136" s="35" t="s">
        <v>51</v>
      </c>
      <c r="C1136" s="27" t="s">
        <v>59</v>
      </c>
      <c r="D1136" s="54" t="s">
        <v>188</v>
      </c>
      <c r="E1136" s="411">
        <f>E1113</f>
        <v>14.052187062890273</v>
      </c>
    </row>
    <row r="1137" spans="1:5" ht="15" hidden="1">
      <c r="A1137" s="121" t="s">
        <v>52</v>
      </c>
      <c r="B1137" s="55" t="s">
        <v>53</v>
      </c>
      <c r="C1137" s="33"/>
      <c r="D1137" s="33"/>
      <c r="E1137" s="402"/>
    </row>
    <row r="1138" spans="1:5" ht="15" hidden="1">
      <c r="A1138" s="121" t="s">
        <v>54</v>
      </c>
      <c r="B1138" s="24" t="s">
        <v>55</v>
      </c>
      <c r="C1138" s="11" t="s">
        <v>56</v>
      </c>
      <c r="D1138" s="24"/>
      <c r="E1138" s="398">
        <v>33.34</v>
      </c>
    </row>
    <row r="1139" spans="1:5" ht="15" hidden="1">
      <c r="A1139" s="121" t="s">
        <v>57</v>
      </c>
      <c r="B1139" s="24" t="s">
        <v>58</v>
      </c>
      <c r="C1139" s="11" t="s">
        <v>59</v>
      </c>
      <c r="D1139" s="56" t="s">
        <v>47</v>
      </c>
      <c r="E1139" s="404">
        <f>E1136</f>
        <v>14.052187062890273</v>
      </c>
    </row>
    <row r="1140" spans="1:5" ht="15" hidden="1">
      <c r="A1140" s="162" t="s">
        <v>60</v>
      </c>
      <c r="B1140" s="559" t="s">
        <v>61</v>
      </c>
      <c r="C1140" s="560"/>
      <c r="D1140" s="560"/>
      <c r="E1140" s="561"/>
    </row>
    <row r="1141" spans="1:5" ht="17.25" hidden="1">
      <c r="A1141" s="12" t="s">
        <v>62</v>
      </c>
      <c r="B1141" s="16" t="s">
        <v>137</v>
      </c>
      <c r="C1141" s="9" t="s">
        <v>59</v>
      </c>
      <c r="D1141" s="95" t="s">
        <v>135</v>
      </c>
      <c r="E1141" s="400">
        <f>E1142+E1143</f>
        <v>6.435761551471425</v>
      </c>
    </row>
    <row r="1142" spans="1:5" ht="18.75" hidden="1">
      <c r="A1142" s="13" t="s">
        <v>63</v>
      </c>
      <c r="B1142" s="14" t="s">
        <v>64</v>
      </c>
      <c r="C1142" s="11" t="s">
        <v>59</v>
      </c>
      <c r="D1142" s="77" t="s">
        <v>129</v>
      </c>
      <c r="E1142" s="398">
        <v>2.44</v>
      </c>
    </row>
    <row r="1143" spans="1:5" ht="18.75" hidden="1">
      <c r="A1143" s="13" t="s">
        <v>65</v>
      </c>
      <c r="B1143" s="15" t="s">
        <v>66</v>
      </c>
      <c r="C1143" s="20"/>
      <c r="D1143" s="178" t="s">
        <v>189</v>
      </c>
      <c r="E1143" s="404">
        <f>0.41+(7.24*E1111/37.6)</f>
        <v>3.9957615514714253</v>
      </c>
    </row>
    <row r="1144" spans="1:5" ht="15" hidden="1">
      <c r="A1144" s="12" t="s">
        <v>67</v>
      </c>
      <c r="B1144" s="16" t="s">
        <v>68</v>
      </c>
      <c r="C1144" s="9"/>
      <c r="D1144" s="24"/>
      <c r="E1144" s="398"/>
    </row>
    <row r="1145" spans="1:5" ht="15" hidden="1">
      <c r="A1145" s="12" t="s">
        <v>69</v>
      </c>
      <c r="B1145" s="17" t="s">
        <v>55</v>
      </c>
      <c r="C1145" s="10" t="s">
        <v>56</v>
      </c>
      <c r="D1145" s="24"/>
      <c r="E1145" s="404">
        <v>16.1</v>
      </c>
    </row>
    <row r="1146" spans="1:5" ht="18.75" hidden="1">
      <c r="A1146" s="12" t="s">
        <v>70</v>
      </c>
      <c r="B1146" s="17" t="s">
        <v>71</v>
      </c>
      <c r="C1146" s="11" t="s">
        <v>59</v>
      </c>
      <c r="D1146" s="77" t="s">
        <v>131</v>
      </c>
      <c r="E1146" s="404">
        <f>E1143</f>
        <v>3.9957615514714253</v>
      </c>
    </row>
    <row r="1147" spans="1:5" ht="15" hidden="1">
      <c r="A1147" s="172" t="s">
        <v>72</v>
      </c>
      <c r="B1147" s="562" t="s">
        <v>73</v>
      </c>
      <c r="C1147" s="563"/>
      <c r="D1147" s="563"/>
      <c r="E1147" s="564"/>
    </row>
    <row r="1148" spans="1:5" ht="15" hidden="1">
      <c r="A1148" s="557" t="s">
        <v>79</v>
      </c>
      <c r="B1148" s="18" t="s">
        <v>74</v>
      </c>
      <c r="C1148" s="11" t="s">
        <v>59</v>
      </c>
      <c r="D1148" s="79" t="s">
        <v>106</v>
      </c>
      <c r="E1148" s="412">
        <v>0.31</v>
      </c>
    </row>
    <row r="1149" spans="1:5" ht="15" hidden="1">
      <c r="A1149" s="558"/>
      <c r="B1149" s="19" t="s">
        <v>75</v>
      </c>
      <c r="C1149" s="53" t="s">
        <v>76</v>
      </c>
      <c r="D1149" s="79" t="s">
        <v>106</v>
      </c>
      <c r="E1149" s="412">
        <v>2.34</v>
      </c>
    </row>
    <row r="1150" spans="1:5" ht="15.75" hidden="1" thickBot="1">
      <c r="A1150" s="558"/>
      <c r="B1150" s="19" t="s">
        <v>77</v>
      </c>
      <c r="C1150" s="78" t="s">
        <v>78</v>
      </c>
      <c r="D1150" s="79" t="s">
        <v>106</v>
      </c>
      <c r="E1150" s="412">
        <v>46.34</v>
      </c>
    </row>
    <row r="1151" spans="1:5" ht="15" hidden="1">
      <c r="A1151" s="172" t="s">
        <v>80</v>
      </c>
      <c r="B1151" s="82" t="s">
        <v>81</v>
      </c>
      <c r="C1151" s="11" t="s">
        <v>59</v>
      </c>
      <c r="D1151" s="62"/>
      <c r="E1151" s="412">
        <v>-0.07</v>
      </c>
    </row>
    <row r="1152" spans="1:5" ht="15" hidden="1">
      <c r="A1152" s="172" t="s">
        <v>82</v>
      </c>
      <c r="B1152" s="82" t="s">
        <v>83</v>
      </c>
      <c r="C1152" s="11" t="s">
        <v>59</v>
      </c>
      <c r="D1152" s="62"/>
      <c r="E1152" s="412">
        <v>-0.14</v>
      </c>
    </row>
    <row r="1153" spans="1:5" ht="15" hidden="1">
      <c r="A1153" s="172" t="s">
        <v>84</v>
      </c>
      <c r="B1153" s="82" t="s">
        <v>179</v>
      </c>
      <c r="C1153" s="11" t="s">
        <v>59</v>
      </c>
      <c r="D1153" s="62"/>
      <c r="E1153" s="413">
        <f>E1134+E1141+E1148+E1151+E1152</f>
        <v>25.157948614361697</v>
      </c>
    </row>
    <row r="1154" spans="1:5" ht="15" hidden="1">
      <c r="A1154" s="172" t="s">
        <v>85</v>
      </c>
      <c r="B1154" s="82" t="s">
        <v>86</v>
      </c>
      <c r="C1154" s="11" t="s">
        <v>59</v>
      </c>
      <c r="D1154" s="62"/>
      <c r="E1154" s="412">
        <v>0</v>
      </c>
    </row>
    <row r="1155" spans="1:5" ht="15" hidden="1">
      <c r="A1155" s="172" t="s">
        <v>87</v>
      </c>
      <c r="B1155" s="82" t="s">
        <v>88</v>
      </c>
      <c r="C1155" s="9" t="s">
        <v>59</v>
      </c>
      <c r="D1155" s="84"/>
      <c r="E1155" s="413">
        <f>E1153</f>
        <v>25.157948614361697</v>
      </c>
    </row>
    <row r="1156" spans="1:5" ht="15" hidden="1">
      <c r="A1156" s="172" t="s">
        <v>89</v>
      </c>
      <c r="B1156" s="82" t="s">
        <v>90</v>
      </c>
      <c r="C1156" s="9" t="s">
        <v>59</v>
      </c>
      <c r="D1156" s="84"/>
      <c r="E1156" s="414">
        <f>E1155*1.09</f>
        <v>27.42216398965425</v>
      </c>
    </row>
    <row r="1157" spans="1:5" ht="15" hidden="1">
      <c r="A1157" s="172" t="s">
        <v>91</v>
      </c>
      <c r="B1157" s="82" t="s">
        <v>92</v>
      </c>
      <c r="C1157" s="9" t="s">
        <v>59</v>
      </c>
      <c r="D1157" s="84"/>
      <c r="E1157" s="414">
        <f>E1064</f>
        <v>25.202317337765958</v>
      </c>
    </row>
    <row r="1158" spans="1:5" ht="15" hidden="1">
      <c r="A1158" s="172" t="s">
        <v>93</v>
      </c>
      <c r="B1158" s="82" t="s">
        <v>94</v>
      </c>
      <c r="C1158" s="81" t="s">
        <v>95</v>
      </c>
      <c r="D1158" s="84"/>
      <c r="E1158" s="414">
        <f>(E1153/E1157)*100-100</f>
        <v>-0.17605017352025243</v>
      </c>
    </row>
    <row r="1159" spans="1:5" ht="15" hidden="1">
      <c r="A1159" s="172" t="s">
        <v>96</v>
      </c>
      <c r="B1159" s="83" t="s">
        <v>97</v>
      </c>
      <c r="C1159" s="85" t="s">
        <v>98</v>
      </c>
      <c r="D1159" s="86"/>
      <c r="E1159" s="419">
        <v>0.984</v>
      </c>
    </row>
    <row r="1160" spans="1:5" ht="15" hidden="1">
      <c r="A1160" s="172" t="s">
        <v>99</v>
      </c>
      <c r="B1160" s="83" t="s">
        <v>100</v>
      </c>
      <c r="C1160" s="80" t="s">
        <v>98</v>
      </c>
      <c r="D1160" s="62"/>
      <c r="E1160" s="419">
        <v>0.747</v>
      </c>
    </row>
    <row r="1161" spans="1:5" ht="15.75" hidden="1" thickBot="1">
      <c r="A1161" s="22" t="s">
        <v>101</v>
      </c>
      <c r="B1161" s="23" t="s">
        <v>102</v>
      </c>
      <c r="C1161" s="173" t="s">
        <v>98</v>
      </c>
      <c r="D1161" s="174"/>
      <c r="E1161" s="416">
        <v>0</v>
      </c>
    </row>
    <row r="1162" ht="15" hidden="1"/>
    <row r="1163" ht="15" hidden="1"/>
    <row r="1164" ht="15" hidden="1"/>
    <row r="1165" ht="15" hidden="1">
      <c r="B1165" s="161"/>
    </row>
    <row r="1166" spans="1:5" ht="15" hidden="1">
      <c r="A1166" s="155"/>
      <c r="B1166" s="155"/>
      <c r="C1166" s="155"/>
      <c r="D1166" s="155"/>
      <c r="E1166" s="334"/>
    </row>
    <row r="1167" spans="1:5" ht="15" hidden="1">
      <c r="A1167" s="155"/>
      <c r="B1167" s="155"/>
      <c r="C1167" s="155"/>
      <c r="D1167" s="155"/>
      <c r="E1167" s="334"/>
    </row>
    <row r="1168" ht="15" hidden="1"/>
    <row r="1169" ht="15" hidden="1"/>
    <row r="1170" ht="15" hidden="1"/>
    <row r="1171" ht="15" hidden="1"/>
    <row r="1172" ht="15" hidden="1"/>
    <row r="1173" ht="15" hidden="1"/>
    <row r="1174" ht="15" hidden="1"/>
    <row r="1175" ht="15" hidden="1"/>
    <row r="1176" ht="15" hidden="1"/>
    <row r="1177" ht="15" hidden="1"/>
    <row r="1178" ht="15" hidden="1"/>
    <row r="1179" spans="2:4" ht="15" hidden="1">
      <c r="B1179" t="s">
        <v>144</v>
      </c>
      <c r="C1179" t="s">
        <v>148</v>
      </c>
      <c r="D1179" s="101" t="s">
        <v>145</v>
      </c>
    </row>
    <row r="1180" ht="15" hidden="1">
      <c r="C1180" s="108" t="s">
        <v>149</v>
      </c>
    </row>
    <row r="1181" ht="15" hidden="1"/>
    <row r="1182" ht="15" hidden="1"/>
    <row r="1183" ht="15" hidden="1"/>
    <row r="1184" spans="1:5" ht="15" hidden="1">
      <c r="A1184" s="87" t="s">
        <v>0</v>
      </c>
      <c r="B1184" s="87"/>
      <c r="C1184" s="87"/>
      <c r="D1184" s="87"/>
      <c r="E1184" s="334" t="s">
        <v>107</v>
      </c>
    </row>
    <row r="1185" spans="1:5" ht="15" hidden="1">
      <c r="A1185" s="87" t="s">
        <v>1</v>
      </c>
      <c r="B1185" s="87"/>
      <c r="C1185" s="87"/>
      <c r="D1185" s="87" t="s">
        <v>133</v>
      </c>
      <c r="E1185" s="373"/>
    </row>
    <row r="1186" spans="1:5" ht="15" hidden="1">
      <c r="A1186" s="87" t="s">
        <v>2</v>
      </c>
      <c r="B1186" s="87"/>
      <c r="C1186" s="87"/>
      <c r="D1186" s="87" t="s">
        <v>122</v>
      </c>
      <c r="E1186" s="374"/>
    </row>
    <row r="1187" spans="1:5" ht="15" hidden="1">
      <c r="A1187" s="87" t="s">
        <v>3</v>
      </c>
      <c r="B1187" s="87"/>
      <c r="C1187" s="87"/>
      <c r="D1187" s="87" t="s">
        <v>123</v>
      </c>
      <c r="E1187" s="373"/>
    </row>
    <row r="1188" spans="1:5" ht="15" hidden="1">
      <c r="A1188" s="87" t="s">
        <v>4</v>
      </c>
      <c r="B1188" s="87"/>
      <c r="C1188" s="87"/>
      <c r="D1188" s="87" t="s">
        <v>124</v>
      </c>
      <c r="E1188" s="373"/>
    </row>
    <row r="1189" spans="1:5" ht="15" hidden="1">
      <c r="A1189" s="107" t="s">
        <v>147</v>
      </c>
      <c r="B1189" s="87"/>
      <c r="C1189" s="87"/>
      <c r="D1189" s="87"/>
      <c r="E1189" s="373"/>
    </row>
    <row r="1190" spans="1:5" ht="15" hidden="1">
      <c r="A1190" s="87" t="s">
        <v>5</v>
      </c>
      <c r="B1190" s="87"/>
      <c r="C1190" s="87"/>
      <c r="D1190" s="87" t="s">
        <v>125</v>
      </c>
      <c r="E1190" s="373"/>
    </row>
    <row r="1191" spans="1:5" ht="15" hidden="1">
      <c r="A1191" s="1"/>
      <c r="B1191" s="1"/>
      <c r="C1191" s="1"/>
      <c r="D1191" s="1"/>
      <c r="E1191" s="316"/>
    </row>
    <row r="1192" spans="1:4" ht="15.75" hidden="1">
      <c r="A1192" s="96"/>
      <c r="B1192" s="96" t="s">
        <v>199</v>
      </c>
      <c r="C1192" s="2"/>
      <c r="D1192" s="2"/>
    </row>
    <row r="1193" spans="1:4" ht="15.75" hidden="1">
      <c r="A1193" s="96"/>
      <c r="B1193" s="96"/>
      <c r="C1193" s="179">
        <v>41872</v>
      </c>
      <c r="D1193" s="2"/>
    </row>
    <row r="1194" spans="1:4" ht="15.75" hidden="1">
      <c r="A1194" s="96"/>
      <c r="B1194" s="96"/>
      <c r="C1194" s="106" t="s">
        <v>146</v>
      </c>
      <c r="D1194" s="2"/>
    </row>
    <row r="1195" spans="1:5" ht="15" hidden="1">
      <c r="A1195" s="2" t="s">
        <v>6</v>
      </c>
      <c r="B1195" s="2"/>
      <c r="C1195" s="2"/>
      <c r="D1195" s="2"/>
      <c r="E1195" s="376"/>
    </row>
    <row r="1196" spans="1:5" ht="15" hidden="1">
      <c r="A1196" s="1" t="s">
        <v>174</v>
      </c>
      <c r="B1196" s="1"/>
      <c r="C1196" s="1"/>
      <c r="D1196" s="1"/>
      <c r="E1196" s="316"/>
    </row>
    <row r="1197" spans="1:5" ht="15" hidden="1">
      <c r="A1197" s="1" t="s">
        <v>7</v>
      </c>
      <c r="B1197" s="1"/>
      <c r="C1197" s="1"/>
      <c r="D1197" s="1"/>
      <c r="E1197" s="316"/>
    </row>
    <row r="1198" spans="1:5" ht="15.75" hidden="1" thickBot="1">
      <c r="A1198" s="177" t="s">
        <v>191</v>
      </c>
      <c r="B1198" s="177"/>
      <c r="C1198" s="177"/>
      <c r="D1198" s="177"/>
      <c r="E1198" s="418"/>
    </row>
    <row r="1199" spans="1:5" ht="15" hidden="1">
      <c r="A1199" s="117" t="s">
        <v>8</v>
      </c>
      <c r="B1199" s="118" t="s">
        <v>9</v>
      </c>
      <c r="C1199" s="118" t="s">
        <v>10</v>
      </c>
      <c r="D1199" s="118" t="s">
        <v>11</v>
      </c>
      <c r="E1199" s="397" t="s">
        <v>12</v>
      </c>
    </row>
    <row r="1200" spans="1:5" ht="15" hidden="1">
      <c r="A1200" s="121">
        <v>1</v>
      </c>
      <c r="B1200" s="24">
        <v>2</v>
      </c>
      <c r="C1200" s="24">
        <v>3</v>
      </c>
      <c r="D1200" s="24">
        <v>4</v>
      </c>
      <c r="E1200" s="398">
        <v>5</v>
      </c>
    </row>
    <row r="1201" spans="1:5" ht="15" hidden="1">
      <c r="A1201" s="221" t="s">
        <v>13</v>
      </c>
      <c r="B1201" s="222" t="s">
        <v>14</v>
      </c>
      <c r="C1201" s="26"/>
      <c r="D1201" s="26"/>
      <c r="E1201" s="399"/>
    </row>
    <row r="1202" spans="1:5" ht="17.25" hidden="1">
      <c r="A1202" s="225" t="s">
        <v>15</v>
      </c>
      <c r="B1202" s="231" t="s">
        <v>138</v>
      </c>
      <c r="C1202" s="211" t="s">
        <v>59</v>
      </c>
      <c r="D1202" s="163" t="s">
        <v>134</v>
      </c>
      <c r="E1202" s="400">
        <f>E1204+E1206</f>
        <v>18.88637254237288</v>
      </c>
    </row>
    <row r="1203" spans="1:10" s="184" customFormat="1" ht="15.75" hidden="1">
      <c r="A1203" s="226"/>
      <c r="B1203" s="232"/>
      <c r="C1203" s="220" t="s">
        <v>202</v>
      </c>
      <c r="D1203" s="183"/>
      <c r="E1203" s="420">
        <f>E1202/3.4528</f>
        <v>5.469871565793814</v>
      </c>
      <c r="F1203" s="111"/>
      <c r="G1203" s="111"/>
      <c r="H1203" s="111"/>
      <c r="I1203" s="111"/>
      <c r="J1203" s="111"/>
    </row>
    <row r="1204" spans="1:5" ht="18.75" hidden="1">
      <c r="A1204" s="227" t="s">
        <v>16</v>
      </c>
      <c r="B1204" s="38" t="s">
        <v>18</v>
      </c>
      <c r="C1204" s="197" t="s">
        <v>59</v>
      </c>
      <c r="D1204" s="185" t="s">
        <v>126</v>
      </c>
      <c r="E1204" s="421">
        <v>4.57</v>
      </c>
    </row>
    <row r="1205" spans="1:5" ht="15.75" hidden="1">
      <c r="A1205" s="228"/>
      <c r="B1205" s="233"/>
      <c r="C1205" s="193" t="s">
        <v>202</v>
      </c>
      <c r="D1205" s="187"/>
      <c r="E1205" s="422">
        <f>E1204/3.4528</f>
        <v>1.323563484708063</v>
      </c>
    </row>
    <row r="1206" spans="1:5" ht="33" hidden="1">
      <c r="A1206" s="229" t="s">
        <v>17</v>
      </c>
      <c r="B1206" s="234" t="s">
        <v>19</v>
      </c>
      <c r="C1206" s="182" t="s">
        <v>59</v>
      </c>
      <c r="D1206" s="189" t="s">
        <v>188</v>
      </c>
      <c r="E1206" s="423">
        <f>0.29+((4325*E1212+226*E1220+106.1*E1216+509*E1224)/(44.84*1000))/10</f>
        <v>14.316372542372878</v>
      </c>
    </row>
    <row r="1207" spans="1:5" ht="15" hidden="1">
      <c r="A1207" s="230"/>
      <c r="B1207" s="235"/>
      <c r="C1207" s="193" t="s">
        <v>202</v>
      </c>
      <c r="D1207" s="190"/>
      <c r="E1207" s="424">
        <f>E1206/3.4528</f>
        <v>4.14630808108575</v>
      </c>
    </row>
    <row r="1208" spans="1:5" ht="15" hidden="1">
      <c r="A1208" s="223" t="s">
        <v>21</v>
      </c>
      <c r="B1208" s="224" t="s">
        <v>22</v>
      </c>
      <c r="C1208" s="31"/>
      <c r="D1208" s="188"/>
      <c r="E1208" s="402"/>
    </row>
    <row r="1209" spans="1:5" ht="15" hidden="1">
      <c r="A1209" s="166" t="s">
        <v>23</v>
      </c>
      <c r="B1209" s="48" t="s">
        <v>24</v>
      </c>
      <c r="C1209" s="49"/>
      <c r="D1209" s="49"/>
      <c r="E1209" s="403"/>
    </row>
    <row r="1210" spans="1:5" ht="15" hidden="1">
      <c r="A1210" s="164" t="s">
        <v>25</v>
      </c>
      <c r="B1210" s="24" t="s">
        <v>26</v>
      </c>
      <c r="C1210" s="32" t="s">
        <v>41</v>
      </c>
      <c r="D1210" s="24"/>
      <c r="E1210" s="404">
        <v>1013.72</v>
      </c>
    </row>
    <row r="1211" spans="1:5" ht="15" hidden="1">
      <c r="A1211" s="164" t="s">
        <v>27</v>
      </c>
      <c r="B1211" s="24" t="s">
        <v>28</v>
      </c>
      <c r="C1211" s="5" t="s">
        <v>41</v>
      </c>
      <c r="D1211" s="24"/>
      <c r="E1211" s="398">
        <v>313.23</v>
      </c>
    </row>
    <row r="1212" spans="1:5" ht="15" hidden="1">
      <c r="A1212" s="164" t="s">
        <v>29</v>
      </c>
      <c r="B1212" s="38" t="s">
        <v>30</v>
      </c>
      <c r="C1212" s="39" t="s">
        <v>41</v>
      </c>
      <c r="D1212" s="24"/>
      <c r="E1212" s="405">
        <f>E1210+E1211</f>
        <v>1326.95</v>
      </c>
    </row>
    <row r="1213" spans="1:5" ht="15" hidden="1">
      <c r="A1213" s="167" t="s">
        <v>31</v>
      </c>
      <c r="B1213" s="41" t="s">
        <v>177</v>
      </c>
      <c r="C1213" s="42"/>
      <c r="D1213" s="42"/>
      <c r="E1213" s="406"/>
    </row>
    <row r="1214" spans="1:5" ht="15" hidden="1">
      <c r="A1214" s="164" t="s">
        <v>35</v>
      </c>
      <c r="B1214" s="24" t="s">
        <v>26</v>
      </c>
      <c r="C1214" s="40" t="s">
        <v>33</v>
      </c>
      <c r="D1214" s="24"/>
      <c r="E1214" s="404"/>
    </row>
    <row r="1215" spans="1:5" ht="15" hidden="1">
      <c r="A1215" s="164" t="s">
        <v>36</v>
      </c>
      <c r="B1215" s="24" t="s">
        <v>28</v>
      </c>
      <c r="C1215" s="4" t="s">
        <v>33</v>
      </c>
      <c r="D1215" s="24"/>
      <c r="E1215" s="404"/>
    </row>
    <row r="1216" spans="1:5" ht="15" hidden="1">
      <c r="A1216" s="164" t="s">
        <v>37</v>
      </c>
      <c r="B1216" s="24" t="s">
        <v>30</v>
      </c>
      <c r="C1216" s="43" t="s">
        <v>33</v>
      </c>
      <c r="D1216" s="24"/>
      <c r="E1216" s="405">
        <v>408.98</v>
      </c>
    </row>
    <row r="1217" spans="1:5" ht="15" hidden="1">
      <c r="A1217" s="167" t="s">
        <v>31</v>
      </c>
      <c r="B1217" s="41" t="s">
        <v>178</v>
      </c>
      <c r="C1217" s="42"/>
      <c r="D1217" s="42"/>
      <c r="E1217" s="406"/>
    </row>
    <row r="1218" spans="1:5" ht="15" hidden="1">
      <c r="A1218" s="164" t="s">
        <v>35</v>
      </c>
      <c r="B1218" s="24" t="s">
        <v>26</v>
      </c>
      <c r="C1218" s="40" t="s">
        <v>33</v>
      </c>
      <c r="D1218" s="24"/>
      <c r="E1218" s="404"/>
    </row>
    <row r="1219" spans="1:5" ht="15" hidden="1">
      <c r="A1219" s="164" t="s">
        <v>36</v>
      </c>
      <c r="B1219" s="24" t="s">
        <v>28</v>
      </c>
      <c r="C1219" s="4" t="s">
        <v>33</v>
      </c>
      <c r="D1219" s="24"/>
      <c r="E1219" s="404"/>
    </row>
    <row r="1220" spans="1:5" ht="15" hidden="1">
      <c r="A1220" s="164" t="s">
        <v>37</v>
      </c>
      <c r="B1220" s="24" t="s">
        <v>30</v>
      </c>
      <c r="C1220" s="43" t="s">
        <v>33</v>
      </c>
      <c r="D1220" s="24"/>
      <c r="E1220" s="405">
        <v>571.25</v>
      </c>
    </row>
    <row r="1221" spans="1:5" ht="15" hidden="1">
      <c r="A1221" s="168" t="s">
        <v>34</v>
      </c>
      <c r="B1221" s="45" t="s">
        <v>103</v>
      </c>
      <c r="C1221" s="46"/>
      <c r="D1221" s="46"/>
      <c r="E1221" s="407"/>
    </row>
    <row r="1222" spans="1:5" ht="15" hidden="1">
      <c r="A1222" s="169" t="s">
        <v>38</v>
      </c>
      <c r="B1222" s="44" t="s">
        <v>26</v>
      </c>
      <c r="C1222" s="40" t="s">
        <v>33</v>
      </c>
      <c r="D1222" s="24"/>
      <c r="E1222" s="404" t="e">
        <f>#REF!</f>
        <v>#REF!</v>
      </c>
    </row>
    <row r="1223" spans="1:5" ht="15" hidden="1">
      <c r="A1223" s="169" t="s">
        <v>39</v>
      </c>
      <c r="B1223" s="24" t="s">
        <v>28</v>
      </c>
      <c r="C1223" s="4" t="s">
        <v>33</v>
      </c>
      <c r="D1223" s="24"/>
      <c r="E1223" s="398"/>
    </row>
    <row r="1224" spans="1:5" ht="15" hidden="1">
      <c r="A1224" s="21" t="s">
        <v>40</v>
      </c>
      <c r="B1224" s="38" t="s">
        <v>30</v>
      </c>
      <c r="C1224" s="43" t="s">
        <v>33</v>
      </c>
      <c r="D1224" s="24"/>
      <c r="E1224" s="405">
        <v>742.38</v>
      </c>
    </row>
    <row r="1225" spans="1:5" ht="15" hidden="1">
      <c r="A1225" s="170" t="s">
        <v>42</v>
      </c>
      <c r="B1225" s="51" t="s">
        <v>43</v>
      </c>
      <c r="C1225" s="52"/>
      <c r="D1225" s="52"/>
      <c r="E1225" s="408"/>
    </row>
    <row r="1226" spans="1:5" ht="15" hidden="1">
      <c r="A1226" s="121" t="s">
        <v>44</v>
      </c>
      <c r="B1226" s="24" t="s">
        <v>104</v>
      </c>
      <c r="C1226" s="24"/>
      <c r="D1226" s="24"/>
      <c r="E1226" s="409" t="s">
        <v>106</v>
      </c>
    </row>
    <row r="1227" spans="1:5" ht="15" hidden="1">
      <c r="A1227" s="121" t="s">
        <v>45</v>
      </c>
      <c r="B1227" s="24" t="s">
        <v>105</v>
      </c>
      <c r="C1227" s="11" t="s">
        <v>59</v>
      </c>
      <c r="D1227" s="24"/>
      <c r="E1227" s="398">
        <v>0</v>
      </c>
    </row>
    <row r="1228" spans="1:5" ht="17.25" hidden="1">
      <c r="A1228" s="171" t="s">
        <v>46</v>
      </c>
      <c r="B1228" s="91" t="s">
        <v>127</v>
      </c>
      <c r="C1228" s="94" t="s">
        <v>59</v>
      </c>
      <c r="D1228" s="95" t="s">
        <v>136</v>
      </c>
      <c r="E1228" s="417">
        <f>E1229+E1230</f>
        <v>18.88637254237288</v>
      </c>
    </row>
    <row r="1229" spans="1:5" ht="18.75" hidden="1">
      <c r="A1229" s="121" t="s">
        <v>48</v>
      </c>
      <c r="B1229" s="24" t="s">
        <v>49</v>
      </c>
      <c r="C1229" s="53" t="s">
        <v>59</v>
      </c>
      <c r="D1229" s="77" t="s">
        <v>128</v>
      </c>
      <c r="E1229" s="404">
        <f>E1204</f>
        <v>4.57</v>
      </c>
    </row>
    <row r="1230" spans="1:5" ht="33" hidden="1">
      <c r="A1230" s="165" t="s">
        <v>50</v>
      </c>
      <c r="B1230" s="35" t="s">
        <v>51</v>
      </c>
      <c r="C1230" s="27" t="s">
        <v>59</v>
      </c>
      <c r="D1230" s="54" t="s">
        <v>188</v>
      </c>
      <c r="E1230" s="411">
        <f>E1206</f>
        <v>14.316372542372878</v>
      </c>
    </row>
    <row r="1231" spans="1:5" ht="15" hidden="1">
      <c r="A1231" s="121" t="s">
        <v>52</v>
      </c>
      <c r="B1231" s="55" t="s">
        <v>53</v>
      </c>
      <c r="C1231" s="33"/>
      <c r="D1231" s="33"/>
      <c r="E1231" s="402"/>
    </row>
    <row r="1232" spans="1:5" ht="15" hidden="1">
      <c r="A1232" s="121" t="s">
        <v>54</v>
      </c>
      <c r="B1232" s="24" t="s">
        <v>55</v>
      </c>
      <c r="C1232" s="11" t="s">
        <v>56</v>
      </c>
      <c r="D1232" s="24"/>
      <c r="E1232" s="398">
        <v>33.34</v>
      </c>
    </row>
    <row r="1233" spans="1:5" ht="15" hidden="1">
      <c r="A1233" s="121" t="s">
        <v>57</v>
      </c>
      <c r="B1233" s="24" t="s">
        <v>58</v>
      </c>
      <c r="C1233" s="11" t="s">
        <v>59</v>
      </c>
      <c r="D1233" s="56" t="s">
        <v>47</v>
      </c>
      <c r="E1233" s="404">
        <f>E1230</f>
        <v>14.316372542372878</v>
      </c>
    </row>
    <row r="1234" spans="1:5" ht="15" hidden="1">
      <c r="A1234" s="162" t="s">
        <v>60</v>
      </c>
      <c r="B1234" s="559" t="s">
        <v>61</v>
      </c>
      <c r="C1234" s="560"/>
      <c r="D1234" s="560"/>
      <c r="E1234" s="561"/>
    </row>
    <row r="1235" spans="1:5" ht="17.25" hidden="1">
      <c r="A1235" s="204" t="s">
        <v>62</v>
      </c>
      <c r="B1235" s="194" t="s">
        <v>137</v>
      </c>
      <c r="C1235" s="195" t="s">
        <v>59</v>
      </c>
      <c r="D1235" s="191" t="s">
        <v>135</v>
      </c>
      <c r="E1235" s="425">
        <f>E1237+E1239</f>
        <v>6.4866313086909475</v>
      </c>
    </row>
    <row r="1236" spans="1:5" ht="15.75" hidden="1">
      <c r="A1236" s="196"/>
      <c r="B1236" s="205"/>
      <c r="C1236" s="193" t="s">
        <v>202</v>
      </c>
      <c r="D1236" s="192"/>
      <c r="E1236" s="420">
        <f>E1235/3.4528</f>
        <v>1.8786582798572022</v>
      </c>
    </row>
    <row r="1237" spans="1:5" ht="18.75" hidden="1">
      <c r="A1237" s="200" t="s">
        <v>63</v>
      </c>
      <c r="B1237" s="206" t="s">
        <v>64</v>
      </c>
      <c r="C1237" s="197" t="s">
        <v>59</v>
      </c>
      <c r="D1237" s="185" t="s">
        <v>129</v>
      </c>
      <c r="E1237" s="402">
        <v>2.44</v>
      </c>
    </row>
    <row r="1238" spans="1:5" ht="15.75" hidden="1">
      <c r="A1238" s="201"/>
      <c r="B1238" s="207"/>
      <c r="C1238" s="193" t="s">
        <v>202</v>
      </c>
      <c r="D1238" s="186"/>
      <c r="E1238" s="420">
        <f>E1237/3.4528</f>
        <v>0.7066728452270621</v>
      </c>
    </row>
    <row r="1239" spans="1:5" ht="18.75" hidden="1">
      <c r="A1239" s="200" t="s">
        <v>65</v>
      </c>
      <c r="B1239" s="208" t="s">
        <v>66</v>
      </c>
      <c r="C1239" s="197" t="s">
        <v>59</v>
      </c>
      <c r="D1239" s="202" t="s">
        <v>189</v>
      </c>
      <c r="E1239" s="426">
        <f>0.41+(7.24*E1202/37.6)</f>
        <v>4.046631308690948</v>
      </c>
    </row>
    <row r="1240" spans="1:5" ht="15.75" hidden="1">
      <c r="A1240" s="201"/>
      <c r="B1240" s="209"/>
      <c r="C1240" s="193" t="s">
        <v>202</v>
      </c>
      <c r="D1240" s="203"/>
      <c r="E1240" s="420">
        <f>E1239/3.4528</f>
        <v>1.1719854346301402</v>
      </c>
    </row>
    <row r="1241" spans="1:5" ht="15" hidden="1">
      <c r="A1241" s="198" t="s">
        <v>67</v>
      </c>
      <c r="B1241" s="199" t="s">
        <v>68</v>
      </c>
      <c r="C1241" s="9"/>
      <c r="D1241" s="44"/>
      <c r="E1241" s="398"/>
    </row>
    <row r="1242" spans="1:5" ht="15" hidden="1">
      <c r="A1242" s="12" t="s">
        <v>69</v>
      </c>
      <c r="B1242" s="17" t="s">
        <v>55</v>
      </c>
      <c r="C1242" s="10" t="s">
        <v>56</v>
      </c>
      <c r="D1242" s="24"/>
      <c r="E1242" s="404">
        <v>16.1</v>
      </c>
    </row>
    <row r="1243" spans="1:5" ht="18.75" hidden="1">
      <c r="A1243" s="12" t="s">
        <v>70</v>
      </c>
      <c r="B1243" s="17" t="s">
        <v>71</v>
      </c>
      <c r="C1243" s="11" t="s">
        <v>59</v>
      </c>
      <c r="D1243" s="77" t="s">
        <v>131</v>
      </c>
      <c r="E1243" s="404">
        <f>E1239</f>
        <v>4.046631308690948</v>
      </c>
    </row>
    <row r="1244" spans="1:5" ht="15" hidden="1">
      <c r="A1244" s="172" t="s">
        <v>72</v>
      </c>
      <c r="B1244" s="562" t="s">
        <v>73</v>
      </c>
      <c r="C1244" s="563"/>
      <c r="D1244" s="563"/>
      <c r="E1244" s="564"/>
    </row>
    <row r="1245" spans="1:5" ht="15" hidden="1">
      <c r="A1245" s="557" t="s">
        <v>79</v>
      </c>
      <c r="B1245" s="18" t="s">
        <v>74</v>
      </c>
      <c r="C1245" s="11" t="s">
        <v>59</v>
      </c>
      <c r="D1245" s="79" t="s">
        <v>106</v>
      </c>
      <c r="E1245" s="412">
        <v>0.31</v>
      </c>
    </row>
    <row r="1246" spans="1:5" ht="15" hidden="1">
      <c r="A1246" s="558"/>
      <c r="B1246" s="19" t="s">
        <v>75</v>
      </c>
      <c r="C1246" s="53" t="s">
        <v>76</v>
      </c>
      <c r="D1246" s="79" t="s">
        <v>106</v>
      </c>
      <c r="E1246" s="412">
        <v>2.34</v>
      </c>
    </row>
    <row r="1247" spans="1:5" ht="15.75" hidden="1" thickBot="1">
      <c r="A1247" s="558"/>
      <c r="B1247" s="19" t="s">
        <v>77</v>
      </c>
      <c r="C1247" s="78" t="s">
        <v>78</v>
      </c>
      <c r="D1247" s="79" t="s">
        <v>106</v>
      </c>
      <c r="E1247" s="412">
        <v>46.34</v>
      </c>
    </row>
    <row r="1248" spans="1:5" ht="15" hidden="1">
      <c r="A1248" s="172" t="s">
        <v>80</v>
      </c>
      <c r="B1248" s="82" t="s">
        <v>81</v>
      </c>
      <c r="C1248" s="11" t="s">
        <v>59</v>
      </c>
      <c r="D1248" s="62"/>
      <c r="E1248" s="412">
        <v>-0.07</v>
      </c>
    </row>
    <row r="1249" spans="1:5" ht="15" hidden="1">
      <c r="A1249" s="172" t="s">
        <v>82</v>
      </c>
      <c r="B1249" s="82" t="s">
        <v>83</v>
      </c>
      <c r="C1249" s="11" t="s">
        <v>59</v>
      </c>
      <c r="D1249" s="62"/>
      <c r="E1249" s="412">
        <v>-0.14</v>
      </c>
    </row>
    <row r="1250" spans="1:6" ht="15" hidden="1">
      <c r="A1250" s="217" t="s">
        <v>84</v>
      </c>
      <c r="B1250" s="212" t="s">
        <v>179</v>
      </c>
      <c r="C1250" s="210" t="s">
        <v>59</v>
      </c>
      <c r="D1250" s="62"/>
      <c r="E1250" s="413">
        <v>25.48</v>
      </c>
      <c r="F1250" s="143">
        <f>E1250/3.4528</f>
        <v>7.379518072289157</v>
      </c>
    </row>
    <row r="1251" spans="1:6" ht="15" hidden="1">
      <c r="A1251" s="215"/>
      <c r="B1251" s="214"/>
      <c r="C1251" s="193" t="s">
        <v>202</v>
      </c>
      <c r="D1251" s="62"/>
      <c r="E1251" s="427">
        <f>E1250/3.4528</f>
        <v>7.379518072289157</v>
      </c>
      <c r="F1251" s="143"/>
    </row>
    <row r="1252" spans="1:6" ht="15" hidden="1">
      <c r="A1252" s="216" t="s">
        <v>85</v>
      </c>
      <c r="B1252" s="82" t="s">
        <v>86</v>
      </c>
      <c r="C1252" s="210" t="s">
        <v>59</v>
      </c>
      <c r="D1252" s="62"/>
      <c r="E1252" s="412">
        <v>0</v>
      </c>
      <c r="F1252" s="143">
        <f>E1252/3.4528</f>
        <v>0</v>
      </c>
    </row>
    <row r="1253" spans="1:6" ht="15" hidden="1">
      <c r="A1253" s="217" t="s">
        <v>87</v>
      </c>
      <c r="B1253" s="212" t="s">
        <v>88</v>
      </c>
      <c r="C1253" s="211" t="s">
        <v>59</v>
      </c>
      <c r="D1253" s="84"/>
      <c r="E1253" s="413">
        <f>E1250</f>
        <v>25.48</v>
      </c>
      <c r="F1253" s="143">
        <f>E1253/3.4528</f>
        <v>7.379518072289157</v>
      </c>
    </row>
    <row r="1254" spans="1:6" ht="15" hidden="1">
      <c r="A1254" s="215"/>
      <c r="B1254" s="214"/>
      <c r="C1254" s="193" t="s">
        <v>202</v>
      </c>
      <c r="D1254" s="84"/>
      <c r="E1254" s="427">
        <f>E1253/3.4528</f>
        <v>7.379518072289157</v>
      </c>
      <c r="F1254" s="143"/>
    </row>
    <row r="1255" spans="1:6" ht="15" hidden="1">
      <c r="A1255" s="217" t="s">
        <v>89</v>
      </c>
      <c r="B1255" s="212" t="s">
        <v>90</v>
      </c>
      <c r="C1255" s="211" t="s">
        <v>59</v>
      </c>
      <c r="D1255" s="84"/>
      <c r="E1255" s="414">
        <f>E1253*1.09</f>
        <v>27.773200000000003</v>
      </c>
      <c r="F1255" s="143">
        <f>E1255/3.4528</f>
        <v>8.043674698795181</v>
      </c>
    </row>
    <row r="1256" spans="1:6" ht="15" hidden="1">
      <c r="A1256" s="218"/>
      <c r="B1256" s="219"/>
      <c r="C1256" s="193" t="s">
        <v>202</v>
      </c>
      <c r="D1256" s="84"/>
      <c r="E1256" s="427">
        <f>E1255/3.4528</f>
        <v>8.043674698795181</v>
      </c>
      <c r="F1256" s="143"/>
    </row>
    <row r="1257" spans="1:6" ht="15" hidden="1">
      <c r="A1257" s="217" t="s">
        <v>91</v>
      </c>
      <c r="B1257" s="212" t="s">
        <v>92</v>
      </c>
      <c r="C1257" s="211" t="s">
        <v>59</v>
      </c>
      <c r="D1257" s="84"/>
      <c r="E1257" s="414">
        <f>E1155</f>
        <v>25.157948614361697</v>
      </c>
      <c r="F1257" s="143">
        <f>E1257/3.4528</f>
        <v>7.28624554401115</v>
      </c>
    </row>
    <row r="1258" spans="1:6" ht="15" hidden="1">
      <c r="A1258" s="215"/>
      <c r="B1258" s="214"/>
      <c r="C1258" s="193" t="s">
        <v>202</v>
      </c>
      <c r="D1258" s="84"/>
      <c r="E1258" s="427">
        <f>E1257/3.4528</f>
        <v>7.28624554401115</v>
      </c>
      <c r="F1258" s="143"/>
    </row>
    <row r="1259" spans="1:5" ht="15" hidden="1">
      <c r="A1259" s="213" t="s">
        <v>93</v>
      </c>
      <c r="B1259" s="214" t="s">
        <v>94</v>
      </c>
      <c r="C1259" s="81" t="s">
        <v>95</v>
      </c>
      <c r="D1259" s="84"/>
      <c r="E1259" s="414">
        <f>(E1250/E1257)*100-100</f>
        <v>1.2801178290604156</v>
      </c>
    </row>
    <row r="1260" spans="1:5" ht="15" hidden="1">
      <c r="A1260" s="172" t="s">
        <v>96</v>
      </c>
      <c r="B1260" s="83" t="s">
        <v>97</v>
      </c>
      <c r="C1260" s="85" t="s">
        <v>98</v>
      </c>
      <c r="D1260" s="86"/>
      <c r="E1260" s="419">
        <v>0.982</v>
      </c>
    </row>
    <row r="1261" spans="1:5" ht="15" hidden="1">
      <c r="A1261" s="172" t="s">
        <v>99</v>
      </c>
      <c r="B1261" s="83" t="s">
        <v>100</v>
      </c>
      <c r="C1261" s="80" t="s">
        <v>98</v>
      </c>
      <c r="D1261" s="62"/>
      <c r="E1261" s="419">
        <v>0.682</v>
      </c>
    </row>
    <row r="1262" spans="1:5" ht="15.75" hidden="1" thickBot="1">
      <c r="A1262" s="22" t="s">
        <v>101</v>
      </c>
      <c r="B1262" s="23" t="s">
        <v>102</v>
      </c>
      <c r="C1262" s="173" t="s">
        <v>98</v>
      </c>
      <c r="D1262" s="174"/>
      <c r="E1262" s="416">
        <v>0</v>
      </c>
    </row>
    <row r="1263" ht="15" hidden="1"/>
    <row r="1264" ht="15" hidden="1"/>
    <row r="1265" spans="2:4" ht="15" hidden="1">
      <c r="B1265" s="180" t="s">
        <v>201</v>
      </c>
      <c r="C1265" s="181"/>
      <c r="D1265" s="181"/>
    </row>
    <row r="1266" ht="15" hidden="1"/>
    <row r="1267" ht="15" hidden="1"/>
    <row r="1268" ht="15" hidden="1"/>
    <row r="1269" ht="15" hidden="1"/>
    <row r="1270" ht="15" hidden="1"/>
    <row r="1271" spans="2:4" ht="15" hidden="1">
      <c r="B1271" t="s">
        <v>144</v>
      </c>
      <c r="C1271" t="s">
        <v>148</v>
      </c>
      <c r="D1271" s="101" t="s">
        <v>145</v>
      </c>
    </row>
    <row r="1272" ht="15" hidden="1">
      <c r="C1272" s="108" t="s">
        <v>149</v>
      </c>
    </row>
    <row r="1273" ht="15" hidden="1"/>
    <row r="1274" spans="1:5" ht="15" hidden="1">
      <c r="A1274" s="87" t="s">
        <v>0</v>
      </c>
      <c r="B1274" s="87"/>
      <c r="C1274" s="87"/>
      <c r="D1274" s="87"/>
      <c r="E1274" s="334" t="s">
        <v>107</v>
      </c>
    </row>
    <row r="1275" spans="1:5" ht="15" hidden="1">
      <c r="A1275" s="87" t="s">
        <v>1</v>
      </c>
      <c r="B1275" s="87"/>
      <c r="C1275" s="87"/>
      <c r="D1275" s="87" t="s">
        <v>133</v>
      </c>
      <c r="E1275" s="373"/>
    </row>
    <row r="1276" spans="1:5" ht="15" hidden="1">
      <c r="A1276" s="87" t="s">
        <v>2</v>
      </c>
      <c r="B1276" s="87"/>
      <c r="C1276" s="87"/>
      <c r="D1276" s="87" t="s">
        <v>122</v>
      </c>
      <c r="E1276" s="374"/>
    </row>
    <row r="1277" spans="1:5" ht="15" hidden="1">
      <c r="A1277" s="87" t="s">
        <v>3</v>
      </c>
      <c r="B1277" s="87"/>
      <c r="C1277" s="87"/>
      <c r="D1277" s="87" t="s">
        <v>123</v>
      </c>
      <c r="E1277" s="373"/>
    </row>
    <row r="1278" spans="1:5" ht="15" hidden="1">
      <c r="A1278" s="87" t="s">
        <v>4</v>
      </c>
      <c r="B1278" s="87"/>
      <c r="C1278" s="87"/>
      <c r="D1278" s="87" t="s">
        <v>124</v>
      </c>
      <c r="E1278" s="373"/>
    </row>
    <row r="1279" spans="1:5" ht="15" hidden="1">
      <c r="A1279" s="107" t="s">
        <v>147</v>
      </c>
      <c r="B1279" s="87"/>
      <c r="C1279" s="87"/>
      <c r="D1279" s="87"/>
      <c r="E1279" s="373"/>
    </row>
    <row r="1280" spans="1:5" ht="15" hidden="1">
      <c r="A1280" s="87" t="s">
        <v>5</v>
      </c>
      <c r="B1280" s="87"/>
      <c r="C1280" s="87"/>
      <c r="D1280" s="87" t="s">
        <v>125</v>
      </c>
      <c r="E1280" s="373"/>
    </row>
    <row r="1281" spans="1:5" ht="15" hidden="1">
      <c r="A1281" s="1"/>
      <c r="B1281" s="1"/>
      <c r="C1281" s="1"/>
      <c r="D1281" s="1"/>
      <c r="E1281" s="316"/>
    </row>
    <row r="1282" spans="1:4" ht="15.75" hidden="1">
      <c r="A1282" s="96" t="s">
        <v>206</v>
      </c>
      <c r="B1282" s="96" t="s">
        <v>204</v>
      </c>
      <c r="C1282" s="2"/>
      <c r="D1282" s="2"/>
    </row>
    <row r="1283" spans="1:4" ht="15.75" hidden="1">
      <c r="A1283" s="96"/>
      <c r="B1283" s="96"/>
      <c r="C1283" s="179">
        <v>41904</v>
      </c>
      <c r="D1283" s="2"/>
    </row>
    <row r="1284" spans="1:4" ht="15.75" hidden="1">
      <c r="A1284" s="96"/>
      <c r="B1284" s="96"/>
      <c r="C1284" s="106" t="s">
        <v>146</v>
      </c>
      <c r="D1284" s="2"/>
    </row>
    <row r="1285" spans="1:5" ht="15" hidden="1">
      <c r="A1285" s="2" t="s">
        <v>6</v>
      </c>
      <c r="B1285" s="2"/>
      <c r="C1285" s="2"/>
      <c r="D1285" s="2"/>
      <c r="E1285" s="376"/>
    </row>
    <row r="1286" spans="1:5" ht="15" hidden="1">
      <c r="A1286" s="1" t="s">
        <v>174</v>
      </c>
      <c r="B1286" s="1"/>
      <c r="C1286" s="1"/>
      <c r="D1286" s="1"/>
      <c r="E1286" s="316"/>
    </row>
    <row r="1287" spans="1:5" ht="15" hidden="1">
      <c r="A1287" s="1" t="s">
        <v>7</v>
      </c>
      <c r="B1287" s="1"/>
      <c r="C1287" s="1"/>
      <c r="D1287" s="1"/>
      <c r="E1287" s="316"/>
    </row>
    <row r="1288" spans="1:5" ht="15.75" hidden="1" thickBot="1">
      <c r="A1288" s="177" t="s">
        <v>191</v>
      </c>
      <c r="B1288" s="177"/>
      <c r="C1288" s="177"/>
      <c r="D1288" s="177"/>
      <c r="E1288" s="418"/>
    </row>
    <row r="1289" spans="1:5" ht="15" hidden="1">
      <c r="A1289" s="117" t="s">
        <v>8</v>
      </c>
      <c r="B1289" s="118" t="s">
        <v>9</v>
      </c>
      <c r="C1289" s="118" t="s">
        <v>10</v>
      </c>
      <c r="D1289" s="118" t="s">
        <v>11</v>
      </c>
      <c r="E1289" s="397" t="s">
        <v>12</v>
      </c>
    </row>
    <row r="1290" spans="1:5" ht="15" hidden="1">
      <c r="A1290" s="121">
        <v>1</v>
      </c>
      <c r="B1290" s="24">
        <v>2</v>
      </c>
      <c r="C1290" s="24">
        <v>3</v>
      </c>
      <c r="D1290" s="24">
        <v>4</v>
      </c>
      <c r="E1290" s="398">
        <v>5</v>
      </c>
    </row>
    <row r="1291" spans="1:5" ht="15" hidden="1">
      <c r="A1291" s="221" t="s">
        <v>13</v>
      </c>
      <c r="B1291" s="222" t="s">
        <v>14</v>
      </c>
      <c r="C1291" s="26"/>
      <c r="D1291" s="26"/>
      <c r="E1291" s="399"/>
    </row>
    <row r="1292" spans="1:5" ht="17.25" hidden="1">
      <c r="A1292" s="225" t="s">
        <v>15</v>
      </c>
      <c r="B1292" s="231" t="s">
        <v>138</v>
      </c>
      <c r="C1292" s="211" t="s">
        <v>59</v>
      </c>
      <c r="D1292" s="163" t="s">
        <v>134</v>
      </c>
      <c r="E1292" s="400">
        <f>E1294+E1296</f>
        <v>18.974665740410348</v>
      </c>
    </row>
    <row r="1293" spans="1:5" ht="15.75" hidden="1">
      <c r="A1293" s="226"/>
      <c r="B1293" s="232"/>
      <c r="C1293" s="220" t="s">
        <v>202</v>
      </c>
      <c r="D1293" s="183"/>
      <c r="E1293" s="420">
        <f>E1292/3.4528</f>
        <v>5.495443043446</v>
      </c>
    </row>
    <row r="1294" spans="1:5" ht="18.75" hidden="1">
      <c r="A1294" s="227" t="s">
        <v>16</v>
      </c>
      <c r="B1294" s="38" t="s">
        <v>18</v>
      </c>
      <c r="C1294" s="197" t="s">
        <v>59</v>
      </c>
      <c r="D1294" s="185" t="s">
        <v>126</v>
      </c>
      <c r="E1294" s="421">
        <v>4.57</v>
      </c>
    </row>
    <row r="1295" spans="1:5" ht="15.75" hidden="1">
      <c r="A1295" s="228"/>
      <c r="B1295" s="233"/>
      <c r="C1295" s="193" t="s">
        <v>202</v>
      </c>
      <c r="D1295" s="187"/>
      <c r="E1295" s="422">
        <f>E1294/3.4528</f>
        <v>1.323563484708063</v>
      </c>
    </row>
    <row r="1296" spans="1:5" ht="33" hidden="1">
      <c r="A1296" s="229" t="s">
        <v>17</v>
      </c>
      <c r="B1296" s="242" t="s">
        <v>19</v>
      </c>
      <c r="C1296" s="182" t="s">
        <v>59</v>
      </c>
      <c r="D1296" s="189" t="s">
        <v>188</v>
      </c>
      <c r="E1296" s="423">
        <f>0.29+((4325*E1302+226*E1310+106.1*E1306+509*E1314)/(44.84*1000))/10</f>
        <v>14.404665740410348</v>
      </c>
    </row>
    <row r="1297" spans="1:5" ht="15" hidden="1">
      <c r="A1297" s="230"/>
      <c r="B1297" s="235"/>
      <c r="C1297" s="193" t="s">
        <v>202</v>
      </c>
      <c r="D1297" s="190"/>
      <c r="E1297" s="424">
        <f>E1296/3.4528</f>
        <v>4.1718795587379365</v>
      </c>
    </row>
    <row r="1298" spans="1:5" ht="15" hidden="1">
      <c r="A1298" s="223" t="s">
        <v>21</v>
      </c>
      <c r="B1298" s="224" t="s">
        <v>22</v>
      </c>
      <c r="C1298" s="31"/>
      <c r="D1298" s="188"/>
      <c r="E1298" s="402"/>
    </row>
    <row r="1299" spans="1:5" ht="15" hidden="1">
      <c r="A1299" s="166" t="s">
        <v>23</v>
      </c>
      <c r="B1299" s="48" t="s">
        <v>24</v>
      </c>
      <c r="C1299" s="49"/>
      <c r="D1299" s="49"/>
      <c r="E1299" s="403"/>
    </row>
    <row r="1300" spans="1:5" ht="15" hidden="1">
      <c r="A1300" s="164" t="s">
        <v>25</v>
      </c>
      <c r="B1300" s="24" t="s">
        <v>26</v>
      </c>
      <c r="C1300" s="32" t="s">
        <v>41</v>
      </c>
      <c r="D1300" s="24"/>
      <c r="E1300" s="404">
        <v>1034.57</v>
      </c>
    </row>
    <row r="1301" spans="1:5" ht="15" hidden="1">
      <c r="A1301" s="164" t="s">
        <v>27</v>
      </c>
      <c r="B1301" s="24" t="s">
        <v>28</v>
      </c>
      <c r="C1301" s="5" t="s">
        <v>41</v>
      </c>
      <c r="D1301" s="24"/>
      <c r="E1301" s="398">
        <v>313.23</v>
      </c>
    </row>
    <row r="1302" spans="1:5" ht="15" hidden="1">
      <c r="A1302" s="164" t="s">
        <v>29</v>
      </c>
      <c r="B1302" s="38" t="s">
        <v>30</v>
      </c>
      <c r="C1302" s="39" t="s">
        <v>41</v>
      </c>
      <c r="D1302" s="24"/>
      <c r="E1302" s="405">
        <f>E1300+E1301</f>
        <v>1347.8</v>
      </c>
    </row>
    <row r="1303" spans="1:5" ht="15" hidden="1">
      <c r="A1303" s="167" t="s">
        <v>31</v>
      </c>
      <c r="B1303" s="41" t="s">
        <v>177</v>
      </c>
      <c r="C1303" s="42"/>
      <c r="D1303" s="42"/>
      <c r="E1303" s="406"/>
    </row>
    <row r="1304" spans="1:5" ht="15" hidden="1">
      <c r="A1304" s="164" t="s">
        <v>35</v>
      </c>
      <c r="B1304" s="24" t="s">
        <v>26</v>
      </c>
      <c r="C1304" s="40" t="s">
        <v>33</v>
      </c>
      <c r="D1304" s="24"/>
      <c r="E1304" s="404"/>
    </row>
    <row r="1305" spans="1:5" ht="15" hidden="1">
      <c r="A1305" s="164" t="s">
        <v>36</v>
      </c>
      <c r="B1305" s="24" t="s">
        <v>28</v>
      </c>
      <c r="C1305" s="4" t="s">
        <v>33</v>
      </c>
      <c r="D1305" s="24"/>
      <c r="E1305" s="404"/>
    </row>
    <row r="1306" spans="1:5" ht="15" hidden="1">
      <c r="A1306" s="164" t="s">
        <v>37</v>
      </c>
      <c r="B1306" s="24" t="s">
        <v>30</v>
      </c>
      <c r="C1306" s="43" t="s">
        <v>33</v>
      </c>
      <c r="D1306" s="24"/>
      <c r="E1306" s="405">
        <v>408.98</v>
      </c>
    </row>
    <row r="1307" spans="1:5" ht="15" hidden="1">
      <c r="A1307" s="167" t="s">
        <v>31</v>
      </c>
      <c r="B1307" s="41" t="s">
        <v>178</v>
      </c>
      <c r="C1307" s="42"/>
      <c r="D1307" s="42"/>
      <c r="E1307" s="406"/>
    </row>
    <row r="1308" spans="1:5" ht="15" hidden="1">
      <c r="A1308" s="164" t="s">
        <v>35</v>
      </c>
      <c r="B1308" s="24" t="s">
        <v>26</v>
      </c>
      <c r="C1308" s="40" t="s">
        <v>33</v>
      </c>
      <c r="D1308" s="24"/>
      <c r="E1308" s="404"/>
    </row>
    <row r="1309" spans="1:5" ht="15" hidden="1">
      <c r="A1309" s="164" t="s">
        <v>36</v>
      </c>
      <c r="B1309" s="24" t="s">
        <v>28</v>
      </c>
      <c r="C1309" s="4" t="s">
        <v>33</v>
      </c>
      <c r="D1309" s="24"/>
      <c r="E1309" s="404"/>
    </row>
    <row r="1310" spans="1:5" ht="15" hidden="1">
      <c r="A1310" s="164" t="s">
        <v>37</v>
      </c>
      <c r="B1310" s="24" t="s">
        <v>30</v>
      </c>
      <c r="C1310" s="43" t="s">
        <v>33</v>
      </c>
      <c r="D1310" s="24"/>
      <c r="E1310" s="405">
        <v>347.42</v>
      </c>
    </row>
    <row r="1311" spans="1:5" ht="15" hidden="1">
      <c r="A1311" s="168" t="s">
        <v>34</v>
      </c>
      <c r="B1311" s="45" t="s">
        <v>103</v>
      </c>
      <c r="C1311" s="46"/>
      <c r="D1311" s="46"/>
      <c r="E1311" s="407"/>
    </row>
    <row r="1312" spans="1:5" ht="15" hidden="1">
      <c r="A1312" s="169" t="s">
        <v>38</v>
      </c>
      <c r="B1312" s="44" t="s">
        <v>26</v>
      </c>
      <c r="C1312" s="40" t="s">
        <v>33</v>
      </c>
      <c r="D1312" s="24"/>
      <c r="E1312" s="404" t="e">
        <f>#REF!</f>
        <v>#REF!</v>
      </c>
    </row>
    <row r="1313" spans="1:5" ht="15" hidden="1">
      <c r="A1313" s="169" t="s">
        <v>39</v>
      </c>
      <c r="B1313" s="24" t="s">
        <v>28</v>
      </c>
      <c r="C1313" s="4" t="s">
        <v>33</v>
      </c>
      <c r="D1313" s="24"/>
      <c r="E1313" s="398"/>
    </row>
    <row r="1314" spans="1:5" ht="15" hidden="1">
      <c r="A1314" s="21" t="s">
        <v>40</v>
      </c>
      <c r="B1314" s="38" t="s">
        <v>30</v>
      </c>
      <c r="C1314" s="43" t="s">
        <v>33</v>
      </c>
      <c r="D1314" s="24"/>
      <c r="E1314" s="405">
        <v>742.38</v>
      </c>
    </row>
    <row r="1315" spans="1:5" ht="15" hidden="1">
      <c r="A1315" s="170" t="s">
        <v>42</v>
      </c>
      <c r="B1315" s="51" t="s">
        <v>43</v>
      </c>
      <c r="C1315" s="52"/>
      <c r="D1315" s="52"/>
      <c r="E1315" s="408"/>
    </row>
    <row r="1316" spans="1:5" ht="15" hidden="1">
      <c r="A1316" s="121" t="s">
        <v>44</v>
      </c>
      <c r="B1316" s="24" t="s">
        <v>104</v>
      </c>
      <c r="C1316" s="24"/>
      <c r="D1316" s="24"/>
      <c r="E1316" s="409" t="s">
        <v>106</v>
      </c>
    </row>
    <row r="1317" spans="1:5" ht="15" hidden="1">
      <c r="A1317" s="121" t="s">
        <v>45</v>
      </c>
      <c r="B1317" s="24" t="s">
        <v>105</v>
      </c>
      <c r="C1317" s="11" t="s">
        <v>59</v>
      </c>
      <c r="D1317" s="24"/>
      <c r="E1317" s="398">
        <v>0</v>
      </c>
    </row>
    <row r="1318" spans="1:5" ht="17.25" hidden="1">
      <c r="A1318" s="171" t="s">
        <v>46</v>
      </c>
      <c r="B1318" s="91" t="s">
        <v>127</v>
      </c>
      <c r="C1318" s="94" t="s">
        <v>59</v>
      </c>
      <c r="D1318" s="95" t="s">
        <v>136</v>
      </c>
      <c r="E1318" s="417">
        <f>E1319+E1320</f>
        <v>18.974665740410348</v>
      </c>
    </row>
    <row r="1319" spans="1:5" ht="18.75" hidden="1">
      <c r="A1319" s="121" t="s">
        <v>48</v>
      </c>
      <c r="B1319" s="24" t="s">
        <v>49</v>
      </c>
      <c r="C1319" s="53" t="s">
        <v>59</v>
      </c>
      <c r="D1319" s="77" t="s">
        <v>128</v>
      </c>
      <c r="E1319" s="404">
        <f>E1294</f>
        <v>4.57</v>
      </c>
    </row>
    <row r="1320" spans="1:5" ht="33" hidden="1">
      <c r="A1320" s="165" t="s">
        <v>50</v>
      </c>
      <c r="B1320" s="35" t="s">
        <v>51</v>
      </c>
      <c r="C1320" s="27" t="s">
        <v>59</v>
      </c>
      <c r="D1320" s="54" t="s">
        <v>188</v>
      </c>
      <c r="E1320" s="411">
        <f>E1296</f>
        <v>14.404665740410348</v>
      </c>
    </row>
    <row r="1321" spans="1:5" ht="15" hidden="1">
      <c r="A1321" s="121" t="s">
        <v>52</v>
      </c>
      <c r="B1321" s="55" t="s">
        <v>53</v>
      </c>
      <c r="C1321" s="33"/>
      <c r="D1321" s="33"/>
      <c r="E1321" s="402"/>
    </row>
    <row r="1322" spans="1:5" ht="15" hidden="1">
      <c r="A1322" s="121" t="s">
        <v>54</v>
      </c>
      <c r="B1322" s="24" t="s">
        <v>55</v>
      </c>
      <c r="C1322" s="11" t="s">
        <v>56</v>
      </c>
      <c r="D1322" s="24"/>
      <c r="E1322" s="398">
        <v>33.34</v>
      </c>
    </row>
    <row r="1323" spans="1:5" ht="15" hidden="1">
      <c r="A1323" s="121" t="s">
        <v>57</v>
      </c>
      <c r="B1323" s="24" t="s">
        <v>58</v>
      </c>
      <c r="C1323" s="11" t="s">
        <v>59</v>
      </c>
      <c r="D1323" s="56" t="s">
        <v>47</v>
      </c>
      <c r="E1323" s="404">
        <f>E1320</f>
        <v>14.404665740410348</v>
      </c>
    </row>
    <row r="1324" spans="1:5" ht="15" hidden="1">
      <c r="A1324" s="162" t="s">
        <v>60</v>
      </c>
      <c r="B1324" s="559" t="s">
        <v>61</v>
      </c>
      <c r="C1324" s="560"/>
      <c r="D1324" s="560"/>
      <c r="E1324" s="561"/>
    </row>
    <row r="1325" spans="1:5" ht="17.25" hidden="1">
      <c r="A1325" s="204" t="s">
        <v>62</v>
      </c>
      <c r="B1325" s="194" t="s">
        <v>137</v>
      </c>
      <c r="C1325" s="195" t="s">
        <v>59</v>
      </c>
      <c r="D1325" s="191" t="s">
        <v>135</v>
      </c>
      <c r="E1325" s="425">
        <f>E1327+E1329</f>
        <v>6.503632445759864</v>
      </c>
    </row>
    <row r="1326" spans="1:5" ht="15.75" hidden="1">
      <c r="A1326" s="196"/>
      <c r="B1326" s="205"/>
      <c r="C1326" s="193" t="s">
        <v>202</v>
      </c>
      <c r="D1326" s="192"/>
      <c r="E1326" s="420">
        <f>E1325/3.4528</f>
        <v>1.8835821494902296</v>
      </c>
    </row>
    <row r="1327" spans="1:5" ht="18.75" hidden="1">
      <c r="A1327" s="200" t="s">
        <v>63</v>
      </c>
      <c r="B1327" s="206" t="s">
        <v>64</v>
      </c>
      <c r="C1327" s="197" t="s">
        <v>59</v>
      </c>
      <c r="D1327" s="185" t="s">
        <v>129</v>
      </c>
      <c r="E1327" s="402">
        <v>2.44</v>
      </c>
    </row>
    <row r="1328" spans="1:5" ht="15.75" hidden="1">
      <c r="A1328" s="201"/>
      <c r="B1328" s="207"/>
      <c r="C1328" s="193" t="s">
        <v>202</v>
      </c>
      <c r="D1328" s="186"/>
      <c r="E1328" s="420">
        <f>E1327/3.4528</f>
        <v>0.7066728452270621</v>
      </c>
    </row>
    <row r="1329" spans="1:5" ht="18.75" hidden="1">
      <c r="A1329" s="200" t="s">
        <v>65</v>
      </c>
      <c r="B1329" s="208" t="s">
        <v>66</v>
      </c>
      <c r="C1329" s="197" t="s">
        <v>59</v>
      </c>
      <c r="D1329" s="202" t="s">
        <v>189</v>
      </c>
      <c r="E1329" s="426">
        <f>0.41+(7.24*E1292/37.6)</f>
        <v>4.063632445759865</v>
      </c>
    </row>
    <row r="1330" spans="1:5" ht="15.75" hidden="1">
      <c r="A1330" s="201"/>
      <c r="B1330" s="209"/>
      <c r="C1330" s="193" t="s">
        <v>202</v>
      </c>
      <c r="D1330" s="203"/>
      <c r="E1330" s="420">
        <f>E1329/3.4528</f>
        <v>1.1769093042631675</v>
      </c>
    </row>
    <row r="1331" spans="1:5" ht="15" hidden="1">
      <c r="A1331" s="198" t="s">
        <v>67</v>
      </c>
      <c r="B1331" s="199" t="s">
        <v>68</v>
      </c>
      <c r="C1331" s="9"/>
      <c r="D1331" s="44"/>
      <c r="E1331" s="398"/>
    </row>
    <row r="1332" spans="1:5" ht="15" hidden="1">
      <c r="A1332" s="12" t="s">
        <v>69</v>
      </c>
      <c r="B1332" s="17" t="s">
        <v>55</v>
      </c>
      <c r="C1332" s="10" t="s">
        <v>56</v>
      </c>
      <c r="D1332" s="24"/>
      <c r="E1332" s="404">
        <v>16.1</v>
      </c>
    </row>
    <row r="1333" spans="1:5" ht="18.75" hidden="1">
      <c r="A1333" s="12" t="s">
        <v>70</v>
      </c>
      <c r="B1333" s="17" t="s">
        <v>71</v>
      </c>
      <c r="C1333" s="11" t="s">
        <v>59</v>
      </c>
      <c r="D1333" s="77" t="s">
        <v>131</v>
      </c>
      <c r="E1333" s="404">
        <f>E1329</f>
        <v>4.063632445759865</v>
      </c>
    </row>
    <row r="1334" spans="1:5" ht="15" hidden="1">
      <c r="A1334" s="172" t="s">
        <v>72</v>
      </c>
      <c r="B1334" s="562" t="s">
        <v>73</v>
      </c>
      <c r="C1334" s="563"/>
      <c r="D1334" s="563"/>
      <c r="E1334" s="564"/>
    </row>
    <row r="1335" spans="1:5" ht="15" hidden="1">
      <c r="A1335" s="557" t="s">
        <v>79</v>
      </c>
      <c r="B1335" s="18" t="s">
        <v>74</v>
      </c>
      <c r="C1335" s="11" t="s">
        <v>59</v>
      </c>
      <c r="D1335" s="79" t="s">
        <v>106</v>
      </c>
      <c r="E1335" s="412">
        <v>0.31</v>
      </c>
    </row>
    <row r="1336" spans="1:5" ht="15" hidden="1">
      <c r="A1336" s="558"/>
      <c r="B1336" s="19" t="s">
        <v>75</v>
      </c>
      <c r="C1336" s="53" t="s">
        <v>76</v>
      </c>
      <c r="D1336" s="79" t="s">
        <v>106</v>
      </c>
      <c r="E1336" s="412">
        <v>2.34</v>
      </c>
    </row>
    <row r="1337" spans="1:5" ht="15.75" hidden="1" thickBot="1">
      <c r="A1337" s="558"/>
      <c r="B1337" s="19" t="s">
        <v>77</v>
      </c>
      <c r="C1337" s="78" t="s">
        <v>78</v>
      </c>
      <c r="D1337" s="79" t="s">
        <v>106</v>
      </c>
      <c r="E1337" s="412">
        <v>46.34</v>
      </c>
    </row>
    <row r="1338" spans="1:5" ht="15" hidden="1">
      <c r="A1338" s="172" t="s">
        <v>80</v>
      </c>
      <c r="B1338" s="82" t="s">
        <v>81</v>
      </c>
      <c r="C1338" s="11" t="s">
        <v>59</v>
      </c>
      <c r="D1338" s="62"/>
      <c r="E1338" s="412">
        <v>-0.07</v>
      </c>
    </row>
    <row r="1339" spans="1:5" ht="15" hidden="1">
      <c r="A1339" s="172" t="s">
        <v>82</v>
      </c>
      <c r="B1339" s="82" t="s">
        <v>83</v>
      </c>
      <c r="C1339" s="11" t="s">
        <v>59</v>
      </c>
      <c r="D1339" s="62"/>
      <c r="E1339" s="412">
        <v>-0.14</v>
      </c>
    </row>
    <row r="1340" spans="1:5" ht="15" hidden="1">
      <c r="A1340" s="217" t="s">
        <v>84</v>
      </c>
      <c r="B1340" s="212" t="s">
        <v>179</v>
      </c>
      <c r="C1340" s="210" t="s">
        <v>59</v>
      </c>
      <c r="D1340" s="62"/>
      <c r="E1340" s="413">
        <v>25.57</v>
      </c>
    </row>
    <row r="1341" spans="1:5" ht="15" hidden="1">
      <c r="A1341" s="215"/>
      <c r="B1341" s="214"/>
      <c r="C1341" s="193" t="s">
        <v>202</v>
      </c>
      <c r="D1341" s="62"/>
      <c r="E1341" s="427">
        <f>E1340/3.4528</f>
        <v>7.405583873957369</v>
      </c>
    </row>
    <row r="1342" spans="1:5" ht="15" hidden="1">
      <c r="A1342" s="216" t="s">
        <v>85</v>
      </c>
      <c r="B1342" s="82" t="s">
        <v>86</v>
      </c>
      <c r="C1342" s="210" t="s">
        <v>59</v>
      </c>
      <c r="D1342" s="62"/>
      <c r="E1342" s="412">
        <v>0</v>
      </c>
    </row>
    <row r="1343" spans="1:5" ht="15" hidden="1">
      <c r="A1343" s="217" t="s">
        <v>87</v>
      </c>
      <c r="B1343" s="212" t="s">
        <v>88</v>
      </c>
      <c r="C1343" s="211" t="s">
        <v>59</v>
      </c>
      <c r="D1343" s="84"/>
      <c r="E1343" s="413">
        <f>E1340</f>
        <v>25.57</v>
      </c>
    </row>
    <row r="1344" spans="1:5" ht="15" hidden="1">
      <c r="A1344" s="215"/>
      <c r="B1344" s="214"/>
      <c r="C1344" s="193" t="s">
        <v>202</v>
      </c>
      <c r="D1344" s="84"/>
      <c r="E1344" s="427">
        <f>E1343/3.4528</f>
        <v>7.405583873957369</v>
      </c>
    </row>
    <row r="1345" spans="1:5" ht="15" hidden="1">
      <c r="A1345" s="217" t="s">
        <v>89</v>
      </c>
      <c r="B1345" s="212" t="s">
        <v>90</v>
      </c>
      <c r="C1345" s="211" t="s">
        <v>59</v>
      </c>
      <c r="D1345" s="84"/>
      <c r="E1345" s="414">
        <f>E1343*1.09</f>
        <v>27.8713</v>
      </c>
    </row>
    <row r="1346" spans="1:5" ht="15" hidden="1">
      <c r="A1346" s="218"/>
      <c r="B1346" s="219"/>
      <c r="C1346" s="193" t="s">
        <v>202</v>
      </c>
      <c r="D1346" s="84"/>
      <c r="E1346" s="427">
        <f>E1345/3.4528</f>
        <v>8.072086422613532</v>
      </c>
    </row>
    <row r="1347" spans="1:5" ht="15" hidden="1">
      <c r="A1347" s="217" t="s">
        <v>91</v>
      </c>
      <c r="B1347" s="212" t="s">
        <v>92</v>
      </c>
      <c r="C1347" s="211" t="s">
        <v>59</v>
      </c>
      <c r="D1347" s="84"/>
      <c r="E1347" s="414">
        <f>E1253</f>
        <v>25.48</v>
      </c>
    </row>
    <row r="1348" spans="1:5" ht="15" hidden="1">
      <c r="A1348" s="215"/>
      <c r="B1348" s="214"/>
      <c r="C1348" s="193" t="s">
        <v>202</v>
      </c>
      <c r="D1348" s="84"/>
      <c r="E1348" s="427">
        <f>E1347/3.4528</f>
        <v>7.379518072289157</v>
      </c>
    </row>
    <row r="1349" spans="1:5" ht="15" hidden="1">
      <c r="A1349" s="213" t="s">
        <v>93</v>
      </c>
      <c r="B1349" s="214" t="s">
        <v>94</v>
      </c>
      <c r="C1349" s="81" t="s">
        <v>95</v>
      </c>
      <c r="D1349" s="84"/>
      <c r="E1349" s="414">
        <f>(E1340/E1347)*100-100</f>
        <v>0.3532182103610779</v>
      </c>
    </row>
    <row r="1350" spans="1:5" ht="15" hidden="1">
      <c r="A1350" s="172" t="s">
        <v>96</v>
      </c>
      <c r="B1350" s="83" t="s">
        <v>97</v>
      </c>
      <c r="C1350" s="85" t="s">
        <v>98</v>
      </c>
      <c r="D1350" s="86"/>
      <c r="E1350" s="419">
        <v>0.927</v>
      </c>
    </row>
    <row r="1351" spans="1:5" ht="15" hidden="1">
      <c r="A1351" s="172" t="s">
        <v>99</v>
      </c>
      <c r="B1351" s="83" t="s">
        <v>100</v>
      </c>
      <c r="C1351" s="80" t="s">
        <v>98</v>
      </c>
      <c r="D1351" s="62"/>
      <c r="E1351" s="419">
        <v>0.596676</v>
      </c>
    </row>
    <row r="1352" spans="1:5" ht="15.75" hidden="1" thickBot="1">
      <c r="A1352" s="22" t="s">
        <v>101</v>
      </c>
      <c r="B1352" s="23" t="s">
        <v>102</v>
      </c>
      <c r="C1352" s="173" t="s">
        <v>98</v>
      </c>
      <c r="D1352" s="174"/>
      <c r="E1352" s="416">
        <v>0</v>
      </c>
    </row>
    <row r="1353" ht="15" hidden="1"/>
    <row r="1354" ht="15" hidden="1"/>
    <row r="1355" spans="2:4" ht="15" hidden="1">
      <c r="B1355" s="180"/>
      <c r="C1355" s="181"/>
      <c r="D1355" s="181"/>
    </row>
    <row r="1356" ht="15" hidden="1"/>
    <row r="1357" ht="15" hidden="1"/>
    <row r="1358" ht="15" hidden="1"/>
    <row r="1359" ht="15" hidden="1"/>
    <row r="1360" ht="15" hidden="1"/>
    <row r="1361" spans="2:4" ht="15" hidden="1">
      <c r="B1361" t="s">
        <v>144</v>
      </c>
      <c r="C1361" t="s">
        <v>148</v>
      </c>
      <c r="D1361" s="101" t="s">
        <v>145</v>
      </c>
    </row>
    <row r="1362" ht="15" hidden="1">
      <c r="C1362" s="108" t="s">
        <v>149</v>
      </c>
    </row>
    <row r="1363" ht="15" hidden="1"/>
    <row r="1364" spans="1:5" ht="15" hidden="1">
      <c r="A1364" s="87" t="s">
        <v>0</v>
      </c>
      <c r="B1364" s="87"/>
      <c r="C1364" s="87"/>
      <c r="D1364" s="87"/>
      <c r="E1364" s="334" t="s">
        <v>107</v>
      </c>
    </row>
    <row r="1365" spans="1:5" ht="15" hidden="1">
      <c r="A1365" s="87" t="s">
        <v>1</v>
      </c>
      <c r="B1365" s="87"/>
      <c r="C1365" s="87"/>
      <c r="D1365" s="87" t="s">
        <v>133</v>
      </c>
      <c r="E1365" s="373"/>
    </row>
    <row r="1366" spans="1:5" ht="15" hidden="1">
      <c r="A1366" s="87" t="s">
        <v>2</v>
      </c>
      <c r="B1366" s="87"/>
      <c r="C1366" s="87"/>
      <c r="D1366" s="87" t="s">
        <v>208</v>
      </c>
      <c r="E1366" s="374"/>
    </row>
    <row r="1367" spans="1:5" ht="15" hidden="1">
      <c r="A1367" s="87" t="s">
        <v>3</v>
      </c>
      <c r="B1367" s="87"/>
      <c r="C1367" s="87"/>
      <c r="D1367" s="87" t="s">
        <v>123</v>
      </c>
      <c r="E1367" s="373"/>
    </row>
    <row r="1368" spans="1:5" ht="15" hidden="1">
      <c r="A1368" s="87" t="s">
        <v>4</v>
      </c>
      <c r="B1368" s="87"/>
      <c r="C1368" s="87"/>
      <c r="D1368" s="87" t="s">
        <v>124</v>
      </c>
      <c r="E1368" s="373"/>
    </row>
    <row r="1369" spans="1:5" ht="15" hidden="1">
      <c r="A1369" s="107" t="s">
        <v>147</v>
      </c>
      <c r="B1369" s="87"/>
      <c r="C1369" s="87"/>
      <c r="D1369" s="87"/>
      <c r="E1369" s="373"/>
    </row>
    <row r="1370" spans="1:5" ht="15" hidden="1">
      <c r="A1370" s="87" t="s">
        <v>5</v>
      </c>
      <c r="B1370" s="87"/>
      <c r="C1370" s="87"/>
      <c r="D1370" s="87" t="s">
        <v>209</v>
      </c>
      <c r="E1370" s="373"/>
    </row>
    <row r="1371" spans="1:5" ht="15" hidden="1">
      <c r="A1371" s="1"/>
      <c r="B1371" s="1"/>
      <c r="C1371" s="1"/>
      <c r="D1371" s="1"/>
      <c r="E1371" s="316"/>
    </row>
    <row r="1372" spans="1:4" ht="15.75" hidden="1">
      <c r="A1372" s="96" t="s">
        <v>206</v>
      </c>
      <c r="B1372" s="96" t="s">
        <v>207</v>
      </c>
      <c r="C1372" s="2"/>
      <c r="D1372" s="2"/>
    </row>
    <row r="1373" spans="1:4" ht="15.75" hidden="1">
      <c r="A1373" s="96"/>
      <c r="B1373" s="96"/>
      <c r="C1373" s="179">
        <v>41934</v>
      </c>
      <c r="D1373" s="2"/>
    </row>
    <row r="1374" spans="1:4" ht="15.75" hidden="1">
      <c r="A1374" s="96"/>
      <c r="B1374" s="96"/>
      <c r="C1374" s="106" t="s">
        <v>146</v>
      </c>
      <c r="D1374" s="2"/>
    </row>
    <row r="1375" spans="1:5" ht="15" hidden="1">
      <c r="A1375" s="2" t="s">
        <v>6</v>
      </c>
      <c r="B1375" s="2"/>
      <c r="C1375" s="2"/>
      <c r="D1375" s="2"/>
      <c r="E1375" s="376"/>
    </row>
    <row r="1376" spans="1:5" ht="15" hidden="1">
      <c r="A1376" s="1" t="s">
        <v>174</v>
      </c>
      <c r="B1376" s="1"/>
      <c r="C1376" s="1"/>
      <c r="D1376" s="1"/>
      <c r="E1376" s="316"/>
    </row>
    <row r="1377" spans="1:5" ht="15" hidden="1">
      <c r="A1377" s="1" t="s">
        <v>7</v>
      </c>
      <c r="B1377" s="1"/>
      <c r="C1377" s="1"/>
      <c r="D1377" s="1"/>
      <c r="E1377" s="316"/>
    </row>
    <row r="1378" spans="1:5" ht="15.75" hidden="1" thickBot="1">
      <c r="A1378" s="177" t="s">
        <v>191</v>
      </c>
      <c r="B1378" s="177"/>
      <c r="C1378" s="177"/>
      <c r="D1378" s="177"/>
      <c r="E1378" s="418"/>
    </row>
    <row r="1379" spans="1:5" ht="15" hidden="1">
      <c r="A1379" s="117" t="s">
        <v>8</v>
      </c>
      <c r="B1379" s="118" t="s">
        <v>9</v>
      </c>
      <c r="C1379" s="118" t="s">
        <v>10</v>
      </c>
      <c r="D1379" s="118" t="s">
        <v>11</v>
      </c>
      <c r="E1379" s="397" t="s">
        <v>12</v>
      </c>
    </row>
    <row r="1380" spans="1:5" ht="15" hidden="1">
      <c r="A1380" s="121">
        <v>1</v>
      </c>
      <c r="B1380" s="24">
        <v>2</v>
      </c>
      <c r="C1380" s="24">
        <v>3</v>
      </c>
      <c r="D1380" s="24">
        <v>4</v>
      </c>
      <c r="E1380" s="398">
        <v>5</v>
      </c>
    </row>
    <row r="1381" spans="1:5" ht="15" hidden="1">
      <c r="A1381" s="221" t="s">
        <v>13</v>
      </c>
      <c r="B1381" s="222" t="s">
        <v>14</v>
      </c>
      <c r="C1381" s="26"/>
      <c r="D1381" s="26"/>
      <c r="E1381" s="399"/>
    </row>
    <row r="1382" spans="1:5" ht="17.25" hidden="1">
      <c r="A1382" s="225" t="s">
        <v>15</v>
      </c>
      <c r="B1382" s="231" t="s">
        <v>138</v>
      </c>
      <c r="C1382" s="211" t="s">
        <v>59</v>
      </c>
      <c r="D1382" s="163" t="s">
        <v>134</v>
      </c>
      <c r="E1382" s="400">
        <f>E1384+E1386</f>
        <v>19.437402196699374</v>
      </c>
    </row>
    <row r="1383" spans="1:5" ht="15.75" hidden="1">
      <c r="A1383" s="226"/>
      <c r="B1383" s="232"/>
      <c r="C1383" s="220" t="s">
        <v>202</v>
      </c>
      <c r="D1383" s="183"/>
      <c r="E1383" s="420">
        <f>E1382/3.4528</f>
        <v>5.629460784493563</v>
      </c>
    </row>
    <row r="1384" spans="1:5" ht="18.75" hidden="1">
      <c r="A1384" s="227" t="s">
        <v>16</v>
      </c>
      <c r="B1384" s="38" t="s">
        <v>18</v>
      </c>
      <c r="C1384" s="197" t="s">
        <v>59</v>
      </c>
      <c r="D1384" s="185" t="s">
        <v>126</v>
      </c>
      <c r="E1384" s="421">
        <v>4.57</v>
      </c>
    </row>
    <row r="1385" spans="1:5" ht="15.75" hidden="1">
      <c r="A1385" s="228"/>
      <c r="B1385" s="233"/>
      <c r="C1385" s="193" t="s">
        <v>202</v>
      </c>
      <c r="D1385" s="187"/>
      <c r="E1385" s="422">
        <f>E1384/3.4528</f>
        <v>1.323563484708063</v>
      </c>
    </row>
    <row r="1386" spans="1:5" ht="33" hidden="1">
      <c r="A1386" s="229" t="s">
        <v>17</v>
      </c>
      <c r="B1386" s="260" t="s">
        <v>19</v>
      </c>
      <c r="C1386" s="182" t="s">
        <v>59</v>
      </c>
      <c r="D1386" s="189" t="s">
        <v>188</v>
      </c>
      <c r="E1386" s="423">
        <f>0.29+((4325*E1392+226*E1400+106.1*E1396+509*E1404)/(44.84*1000))/10</f>
        <v>14.867402196699375</v>
      </c>
    </row>
    <row r="1387" spans="1:5" ht="15" hidden="1">
      <c r="A1387" s="230"/>
      <c r="B1387" s="235"/>
      <c r="C1387" s="193" t="s">
        <v>202</v>
      </c>
      <c r="D1387" s="190"/>
      <c r="E1387" s="424">
        <f>E1386/3.4528</f>
        <v>4.3058972997855</v>
      </c>
    </row>
    <row r="1388" spans="1:5" ht="15" hidden="1">
      <c r="A1388" s="223" t="s">
        <v>21</v>
      </c>
      <c r="B1388" s="224" t="s">
        <v>22</v>
      </c>
      <c r="C1388" s="31"/>
      <c r="D1388" s="188"/>
      <c r="E1388" s="402"/>
    </row>
    <row r="1389" spans="1:5" ht="15" hidden="1">
      <c r="A1389" s="166" t="s">
        <v>23</v>
      </c>
      <c r="B1389" s="48" t="s">
        <v>24</v>
      </c>
      <c r="C1389" s="49"/>
      <c r="D1389" s="49"/>
      <c r="E1389" s="403"/>
    </row>
    <row r="1390" spans="1:5" ht="15" hidden="1">
      <c r="A1390" s="164" t="s">
        <v>25</v>
      </c>
      <c r="B1390" s="24" t="s">
        <v>26</v>
      </c>
      <c r="C1390" s="32" t="s">
        <v>41</v>
      </c>
      <c r="D1390" s="24"/>
      <c r="E1390" s="404">
        <v>1068.56</v>
      </c>
    </row>
    <row r="1391" spans="1:5" ht="15" hidden="1">
      <c r="A1391" s="164" t="s">
        <v>27</v>
      </c>
      <c r="B1391" s="24" t="s">
        <v>28</v>
      </c>
      <c r="C1391" s="5" t="s">
        <v>41</v>
      </c>
      <c r="D1391" s="24"/>
      <c r="E1391" s="398">
        <v>313.23</v>
      </c>
    </row>
    <row r="1392" spans="1:5" ht="15" hidden="1">
      <c r="A1392" s="164" t="s">
        <v>29</v>
      </c>
      <c r="B1392" s="38" t="s">
        <v>30</v>
      </c>
      <c r="C1392" s="39" t="s">
        <v>41</v>
      </c>
      <c r="D1392" s="24"/>
      <c r="E1392" s="405">
        <f>E1390+E1391</f>
        <v>1381.79</v>
      </c>
    </row>
    <row r="1393" spans="1:5" ht="15" hidden="1">
      <c r="A1393" s="167" t="s">
        <v>31</v>
      </c>
      <c r="B1393" s="41" t="s">
        <v>177</v>
      </c>
      <c r="C1393" s="42"/>
      <c r="D1393" s="42"/>
      <c r="E1393" s="406"/>
    </row>
    <row r="1394" spans="1:5" ht="15" hidden="1">
      <c r="A1394" s="164" t="s">
        <v>35</v>
      </c>
      <c r="B1394" s="24" t="s">
        <v>26</v>
      </c>
      <c r="C1394" s="40" t="s">
        <v>33</v>
      </c>
      <c r="D1394" s="24"/>
      <c r="E1394" s="404"/>
    </row>
    <row r="1395" spans="1:5" ht="15" hidden="1">
      <c r="A1395" s="164" t="s">
        <v>36</v>
      </c>
      <c r="B1395" s="24" t="s">
        <v>28</v>
      </c>
      <c r="C1395" s="4" t="s">
        <v>33</v>
      </c>
      <c r="D1395" s="24"/>
      <c r="E1395" s="404"/>
    </row>
    <row r="1396" spans="1:5" ht="15" hidden="1">
      <c r="A1396" s="164" t="s">
        <v>37</v>
      </c>
      <c r="B1396" s="24" t="s">
        <v>30</v>
      </c>
      <c r="C1396" s="43" t="s">
        <v>33</v>
      </c>
      <c r="D1396" s="24"/>
      <c r="E1396" s="405">
        <v>556.55</v>
      </c>
    </row>
    <row r="1397" spans="1:5" ht="15" hidden="1">
      <c r="A1397" s="167" t="s">
        <v>31</v>
      </c>
      <c r="B1397" s="41" t="s">
        <v>178</v>
      </c>
      <c r="C1397" s="42"/>
      <c r="D1397" s="42"/>
      <c r="E1397" s="406"/>
    </row>
    <row r="1398" spans="1:5" ht="15" hidden="1">
      <c r="A1398" s="164" t="s">
        <v>35</v>
      </c>
      <c r="B1398" s="24" t="s">
        <v>26</v>
      </c>
      <c r="C1398" s="40" t="s">
        <v>33</v>
      </c>
      <c r="D1398" s="24"/>
      <c r="E1398" s="404"/>
    </row>
    <row r="1399" spans="1:5" ht="15" hidden="1">
      <c r="A1399" s="164" t="s">
        <v>36</v>
      </c>
      <c r="B1399" s="24" t="s">
        <v>28</v>
      </c>
      <c r="C1399" s="4" t="s">
        <v>33</v>
      </c>
      <c r="D1399" s="24"/>
      <c r="E1399" s="404"/>
    </row>
    <row r="1400" spans="1:5" ht="15" hidden="1">
      <c r="A1400" s="164" t="s">
        <v>37</v>
      </c>
      <c r="B1400" s="24" t="s">
        <v>30</v>
      </c>
      <c r="C1400" s="43" t="s">
        <v>33</v>
      </c>
      <c r="D1400" s="24"/>
      <c r="E1400" s="405">
        <v>545.77</v>
      </c>
    </row>
    <row r="1401" spans="1:5" ht="15" hidden="1">
      <c r="A1401" s="168" t="s">
        <v>34</v>
      </c>
      <c r="B1401" s="45" t="s">
        <v>103</v>
      </c>
      <c r="C1401" s="46"/>
      <c r="D1401" s="46"/>
      <c r="E1401" s="407"/>
    </row>
    <row r="1402" spans="1:5" ht="15" hidden="1">
      <c r="A1402" s="169" t="s">
        <v>38</v>
      </c>
      <c r="B1402" s="44" t="s">
        <v>26</v>
      </c>
      <c r="C1402" s="40" t="s">
        <v>33</v>
      </c>
      <c r="D1402" s="24"/>
      <c r="E1402" s="404" t="e">
        <f>#REF!</f>
        <v>#REF!</v>
      </c>
    </row>
    <row r="1403" spans="1:5" ht="15" hidden="1">
      <c r="A1403" s="169" t="s">
        <v>39</v>
      </c>
      <c r="B1403" s="24" t="s">
        <v>28</v>
      </c>
      <c r="C1403" s="4" t="s">
        <v>33</v>
      </c>
      <c r="D1403" s="24"/>
      <c r="E1403" s="398"/>
    </row>
    <row r="1404" spans="1:5" ht="15" hidden="1">
      <c r="A1404" s="21" t="s">
        <v>40</v>
      </c>
      <c r="B1404" s="38" t="s">
        <v>30</v>
      </c>
      <c r="C1404" s="43" t="s">
        <v>33</v>
      </c>
      <c r="D1404" s="24"/>
      <c r="E1404" s="405">
        <v>742.38</v>
      </c>
    </row>
    <row r="1405" spans="1:5" ht="15" hidden="1">
      <c r="A1405" s="170" t="s">
        <v>42</v>
      </c>
      <c r="B1405" s="51" t="s">
        <v>43</v>
      </c>
      <c r="C1405" s="52"/>
      <c r="D1405" s="52"/>
      <c r="E1405" s="408"/>
    </row>
    <row r="1406" spans="1:5" ht="15" hidden="1">
      <c r="A1406" s="121" t="s">
        <v>44</v>
      </c>
      <c r="B1406" s="24" t="s">
        <v>104</v>
      </c>
      <c r="C1406" s="24"/>
      <c r="D1406" s="24"/>
      <c r="E1406" s="409" t="s">
        <v>106</v>
      </c>
    </row>
    <row r="1407" spans="1:5" ht="15" hidden="1">
      <c r="A1407" s="121" t="s">
        <v>45</v>
      </c>
      <c r="B1407" s="24" t="s">
        <v>105</v>
      </c>
      <c r="C1407" s="11" t="s">
        <v>59</v>
      </c>
      <c r="D1407" s="24"/>
      <c r="E1407" s="398">
        <v>0</v>
      </c>
    </row>
    <row r="1408" spans="1:5" ht="17.25" hidden="1">
      <c r="A1408" s="171" t="s">
        <v>46</v>
      </c>
      <c r="B1408" s="91" t="s">
        <v>127</v>
      </c>
      <c r="C1408" s="94" t="s">
        <v>59</v>
      </c>
      <c r="D1408" s="95" t="s">
        <v>136</v>
      </c>
      <c r="E1408" s="417">
        <f>E1409+E1410</f>
        <v>19.437402196699374</v>
      </c>
    </row>
    <row r="1409" spans="1:5" ht="18.75" hidden="1">
      <c r="A1409" s="121" t="s">
        <v>48</v>
      </c>
      <c r="B1409" s="24" t="s">
        <v>49</v>
      </c>
      <c r="C1409" s="53" t="s">
        <v>59</v>
      </c>
      <c r="D1409" s="77" t="s">
        <v>128</v>
      </c>
      <c r="E1409" s="404">
        <f>E1384</f>
        <v>4.57</v>
      </c>
    </row>
    <row r="1410" spans="1:5" ht="33" hidden="1">
      <c r="A1410" s="165" t="s">
        <v>50</v>
      </c>
      <c r="B1410" s="35" t="s">
        <v>51</v>
      </c>
      <c r="C1410" s="27" t="s">
        <v>59</v>
      </c>
      <c r="D1410" s="54" t="s">
        <v>188</v>
      </c>
      <c r="E1410" s="411">
        <f>E1386</f>
        <v>14.867402196699375</v>
      </c>
    </row>
    <row r="1411" spans="1:5" ht="15" hidden="1">
      <c r="A1411" s="121" t="s">
        <v>52</v>
      </c>
      <c r="B1411" s="55" t="s">
        <v>53</v>
      </c>
      <c r="C1411" s="33"/>
      <c r="D1411" s="33"/>
      <c r="E1411" s="402"/>
    </row>
    <row r="1412" spans="1:5" ht="15" hidden="1">
      <c r="A1412" s="121" t="s">
        <v>54</v>
      </c>
      <c r="B1412" s="24" t="s">
        <v>55</v>
      </c>
      <c r="C1412" s="11" t="s">
        <v>56</v>
      </c>
      <c r="D1412" s="24"/>
      <c r="E1412" s="398">
        <v>33.34</v>
      </c>
    </row>
    <row r="1413" spans="1:5" ht="15" hidden="1">
      <c r="A1413" s="121" t="s">
        <v>57</v>
      </c>
      <c r="B1413" s="24" t="s">
        <v>58</v>
      </c>
      <c r="C1413" s="11" t="s">
        <v>59</v>
      </c>
      <c r="D1413" s="56" t="s">
        <v>47</v>
      </c>
      <c r="E1413" s="404">
        <f>E1410</f>
        <v>14.867402196699375</v>
      </c>
    </row>
    <row r="1414" spans="1:5" ht="15" hidden="1">
      <c r="A1414" s="162" t="s">
        <v>60</v>
      </c>
      <c r="B1414" s="559" t="s">
        <v>61</v>
      </c>
      <c r="C1414" s="560"/>
      <c r="D1414" s="560"/>
      <c r="E1414" s="561"/>
    </row>
    <row r="1415" spans="1:5" ht="17.25" hidden="1">
      <c r="A1415" s="204" t="s">
        <v>62</v>
      </c>
      <c r="B1415" s="194" t="s">
        <v>137</v>
      </c>
      <c r="C1415" s="195" t="s">
        <v>59</v>
      </c>
      <c r="D1415" s="191" t="s">
        <v>135</v>
      </c>
      <c r="E1415" s="425">
        <f>E1417+E1419</f>
        <v>6.592733827236794</v>
      </c>
    </row>
    <row r="1416" spans="1:5" ht="15.75" hidden="1">
      <c r="A1416" s="196"/>
      <c r="B1416" s="205"/>
      <c r="C1416" s="193" t="s">
        <v>202</v>
      </c>
      <c r="D1416" s="192"/>
      <c r="E1416" s="420">
        <f>E1415/3.4528</f>
        <v>1.9093876932451326</v>
      </c>
    </row>
    <row r="1417" spans="1:5" ht="18.75" hidden="1">
      <c r="A1417" s="200" t="s">
        <v>63</v>
      </c>
      <c r="B1417" s="206" t="s">
        <v>64</v>
      </c>
      <c r="C1417" s="197" t="s">
        <v>59</v>
      </c>
      <c r="D1417" s="185" t="s">
        <v>129</v>
      </c>
      <c r="E1417" s="402">
        <v>2.44</v>
      </c>
    </row>
    <row r="1418" spans="1:5" ht="15.75" hidden="1">
      <c r="A1418" s="201"/>
      <c r="B1418" s="207"/>
      <c r="C1418" s="193" t="s">
        <v>202</v>
      </c>
      <c r="D1418" s="186"/>
      <c r="E1418" s="420">
        <f>E1417/3.4528</f>
        <v>0.7066728452270621</v>
      </c>
    </row>
    <row r="1419" spans="1:5" ht="18.75" hidden="1">
      <c r="A1419" s="200" t="s">
        <v>65</v>
      </c>
      <c r="B1419" s="208" t="s">
        <v>66</v>
      </c>
      <c r="C1419" s="197" t="s">
        <v>59</v>
      </c>
      <c r="D1419" s="202" t="s">
        <v>189</v>
      </c>
      <c r="E1419" s="426">
        <f>0.41+(7.24*E1382/37.6)</f>
        <v>4.152733827236794</v>
      </c>
    </row>
    <row r="1420" spans="1:5" ht="15.75" hidden="1">
      <c r="A1420" s="201"/>
      <c r="B1420" s="209"/>
      <c r="C1420" s="193" t="s">
        <v>202</v>
      </c>
      <c r="D1420" s="203"/>
      <c r="E1420" s="420">
        <f>E1419/3.4528</f>
        <v>1.2027148480180707</v>
      </c>
    </row>
    <row r="1421" spans="1:5" ht="15" hidden="1">
      <c r="A1421" s="198" t="s">
        <v>67</v>
      </c>
      <c r="B1421" s="199" t="s">
        <v>68</v>
      </c>
      <c r="C1421" s="9"/>
      <c r="D1421" s="44"/>
      <c r="E1421" s="398"/>
    </row>
    <row r="1422" spans="1:5" ht="15" hidden="1">
      <c r="A1422" s="12" t="s">
        <v>69</v>
      </c>
      <c r="B1422" s="17" t="s">
        <v>55</v>
      </c>
      <c r="C1422" s="10" t="s">
        <v>56</v>
      </c>
      <c r="D1422" s="24"/>
      <c r="E1422" s="404">
        <v>16.1</v>
      </c>
    </row>
    <row r="1423" spans="1:5" ht="18.75" hidden="1">
      <c r="A1423" s="12" t="s">
        <v>70</v>
      </c>
      <c r="B1423" s="17" t="s">
        <v>71</v>
      </c>
      <c r="C1423" s="11" t="s">
        <v>59</v>
      </c>
      <c r="D1423" s="77" t="s">
        <v>131</v>
      </c>
      <c r="E1423" s="404">
        <f>E1419</f>
        <v>4.152733827236794</v>
      </c>
    </row>
    <row r="1424" spans="1:5" ht="15" hidden="1">
      <c r="A1424" s="172" t="s">
        <v>72</v>
      </c>
      <c r="B1424" s="562" t="s">
        <v>73</v>
      </c>
      <c r="C1424" s="563"/>
      <c r="D1424" s="563"/>
      <c r="E1424" s="564"/>
    </row>
    <row r="1425" spans="1:5" ht="15" hidden="1">
      <c r="A1425" s="557" t="s">
        <v>79</v>
      </c>
      <c r="B1425" s="18" t="s">
        <v>74</v>
      </c>
      <c r="C1425" s="11" t="s">
        <v>59</v>
      </c>
      <c r="D1425" s="79" t="s">
        <v>106</v>
      </c>
      <c r="E1425" s="412">
        <v>0.31</v>
      </c>
    </row>
    <row r="1426" spans="1:5" ht="15" hidden="1">
      <c r="A1426" s="558"/>
      <c r="B1426" s="19" t="s">
        <v>75</v>
      </c>
      <c r="C1426" s="53" t="s">
        <v>76</v>
      </c>
      <c r="D1426" s="79" t="s">
        <v>106</v>
      </c>
      <c r="E1426" s="412">
        <v>2.34</v>
      </c>
    </row>
    <row r="1427" spans="1:5" ht="15.75" hidden="1" thickBot="1">
      <c r="A1427" s="558"/>
      <c r="B1427" s="19" t="s">
        <v>210</v>
      </c>
      <c r="C1427" s="78" t="s">
        <v>78</v>
      </c>
      <c r="D1427" s="79" t="s">
        <v>106</v>
      </c>
      <c r="E1427" s="412">
        <v>46.34</v>
      </c>
    </row>
    <row r="1428" spans="1:5" ht="15" hidden="1">
      <c r="A1428" s="172" t="s">
        <v>80</v>
      </c>
      <c r="B1428" s="82" t="s">
        <v>81</v>
      </c>
      <c r="C1428" s="11" t="s">
        <v>59</v>
      </c>
      <c r="D1428" s="62"/>
      <c r="E1428" s="412">
        <v>-0.07</v>
      </c>
    </row>
    <row r="1429" spans="1:5" ht="15" hidden="1">
      <c r="A1429" s="172" t="s">
        <v>82</v>
      </c>
      <c r="B1429" s="82" t="s">
        <v>83</v>
      </c>
      <c r="C1429" s="11" t="s">
        <v>59</v>
      </c>
      <c r="D1429" s="62"/>
      <c r="E1429" s="412">
        <v>-0.14</v>
      </c>
    </row>
    <row r="1430" spans="1:5" ht="15" hidden="1">
      <c r="A1430" s="217" t="s">
        <v>84</v>
      </c>
      <c r="B1430" s="212" t="s">
        <v>179</v>
      </c>
      <c r="C1430" s="210" t="s">
        <v>59</v>
      </c>
      <c r="D1430" s="62"/>
      <c r="E1430" s="413">
        <f>E1382+E1415+E1425+E1428+E1429</f>
        <v>26.130136023936164</v>
      </c>
    </row>
    <row r="1431" spans="1:5" ht="15" hidden="1">
      <c r="A1431" s="215"/>
      <c r="B1431" s="214"/>
      <c r="C1431" s="193" t="s">
        <v>202</v>
      </c>
      <c r="D1431" s="62"/>
      <c r="E1431" s="427">
        <f>E1430/3.4528</f>
        <v>7.5678104795922625</v>
      </c>
    </row>
    <row r="1432" spans="1:5" ht="15" hidden="1">
      <c r="A1432" s="216" t="s">
        <v>85</v>
      </c>
      <c r="B1432" s="82" t="s">
        <v>86</v>
      </c>
      <c r="C1432" s="210" t="s">
        <v>59</v>
      </c>
      <c r="D1432" s="62"/>
      <c r="E1432" s="412">
        <v>0</v>
      </c>
    </row>
    <row r="1433" spans="1:5" ht="15" hidden="1">
      <c r="A1433" s="217" t="s">
        <v>87</v>
      </c>
      <c r="B1433" s="212" t="s">
        <v>88</v>
      </c>
      <c r="C1433" s="211" t="s">
        <v>59</v>
      </c>
      <c r="D1433" s="84"/>
      <c r="E1433" s="413">
        <f>E1430</f>
        <v>26.130136023936164</v>
      </c>
    </row>
    <row r="1434" spans="1:5" ht="15" hidden="1">
      <c r="A1434" s="215"/>
      <c r="B1434" s="214"/>
      <c r="C1434" s="193" t="s">
        <v>202</v>
      </c>
      <c r="D1434" s="84"/>
      <c r="E1434" s="427">
        <f>E1433/3.4528</f>
        <v>7.5678104795922625</v>
      </c>
    </row>
    <row r="1435" spans="1:5" ht="15" hidden="1">
      <c r="A1435" s="217" t="s">
        <v>89</v>
      </c>
      <c r="B1435" s="212" t="s">
        <v>90</v>
      </c>
      <c r="C1435" s="211" t="s">
        <v>59</v>
      </c>
      <c r="D1435" s="84"/>
      <c r="E1435" s="414">
        <f>E1433*1.09</f>
        <v>28.48184826609042</v>
      </c>
    </row>
    <row r="1436" spans="1:5" ht="15" hidden="1">
      <c r="A1436" s="218"/>
      <c r="B1436" s="219"/>
      <c r="C1436" s="193" t="s">
        <v>202</v>
      </c>
      <c r="D1436" s="84"/>
      <c r="E1436" s="427">
        <f>E1435/3.4528</f>
        <v>8.248913422755567</v>
      </c>
    </row>
    <row r="1437" spans="1:5" ht="15" hidden="1">
      <c r="A1437" s="217" t="s">
        <v>91</v>
      </c>
      <c r="B1437" s="212" t="s">
        <v>92</v>
      </c>
      <c r="C1437" s="211" t="s">
        <v>59</v>
      </c>
      <c r="D1437" s="84"/>
      <c r="E1437" s="414">
        <f>E1343</f>
        <v>25.57</v>
      </c>
    </row>
    <row r="1438" spans="1:5" ht="15" hidden="1">
      <c r="A1438" s="215"/>
      <c r="B1438" s="214"/>
      <c r="C1438" s="193" t="s">
        <v>202</v>
      </c>
      <c r="D1438" s="84"/>
      <c r="E1438" s="427">
        <f>E1437/3.4528</f>
        <v>7.405583873957369</v>
      </c>
    </row>
    <row r="1439" spans="1:5" ht="15" hidden="1">
      <c r="A1439" s="213" t="s">
        <v>93</v>
      </c>
      <c r="B1439" s="214" t="s">
        <v>94</v>
      </c>
      <c r="C1439" s="81" t="s">
        <v>95</v>
      </c>
      <c r="D1439" s="84"/>
      <c r="E1439" s="414">
        <f>(E1430/E1437)*100-100</f>
        <v>2.190598451060467</v>
      </c>
    </row>
    <row r="1440" spans="1:5" ht="15" hidden="1">
      <c r="A1440" s="172" t="s">
        <v>96</v>
      </c>
      <c r="B1440" s="83" t="s">
        <v>97</v>
      </c>
      <c r="C1440" s="85" t="s">
        <v>98</v>
      </c>
      <c r="D1440" s="86"/>
      <c r="E1440" s="419">
        <v>1.009</v>
      </c>
    </row>
    <row r="1441" spans="1:5" ht="15" hidden="1">
      <c r="A1441" s="172" t="s">
        <v>99</v>
      </c>
      <c r="B1441" s="83" t="s">
        <v>100</v>
      </c>
      <c r="C1441" s="80" t="s">
        <v>98</v>
      </c>
      <c r="D1441" s="62"/>
      <c r="E1441" s="419">
        <v>0.748891</v>
      </c>
    </row>
    <row r="1442" spans="1:5" ht="15.75" hidden="1" thickBot="1">
      <c r="A1442" s="22" t="s">
        <v>101</v>
      </c>
      <c r="B1442" s="23" t="s">
        <v>102</v>
      </c>
      <c r="C1442" s="173" t="s">
        <v>98</v>
      </c>
      <c r="D1442" s="174"/>
      <c r="E1442" s="416">
        <v>0</v>
      </c>
    </row>
    <row r="1443" ht="15" hidden="1"/>
    <row r="1444" ht="15" hidden="1"/>
    <row r="1445" spans="2:4" ht="15" hidden="1">
      <c r="B1445" s="180"/>
      <c r="C1445" s="181"/>
      <c r="D1445" s="181"/>
    </row>
    <row r="1446" ht="15" hidden="1"/>
    <row r="1447" ht="15" hidden="1"/>
    <row r="1448" ht="15" hidden="1"/>
    <row r="1449" ht="15" hidden="1"/>
    <row r="1450" ht="15" hidden="1"/>
    <row r="1451" spans="2:4" ht="15" hidden="1">
      <c r="B1451" t="s">
        <v>144</v>
      </c>
      <c r="C1451" t="s">
        <v>148</v>
      </c>
      <c r="D1451" s="101" t="s">
        <v>145</v>
      </c>
    </row>
    <row r="1452" ht="15" hidden="1">
      <c r="C1452" s="108" t="s">
        <v>149</v>
      </c>
    </row>
    <row r="1453" ht="15" hidden="1"/>
    <row r="1454" spans="1:5" ht="15" hidden="1">
      <c r="A1454" s="87" t="s">
        <v>0</v>
      </c>
      <c r="B1454" s="87"/>
      <c r="C1454" s="87"/>
      <c r="D1454" s="87"/>
      <c r="E1454" s="334" t="s">
        <v>107</v>
      </c>
    </row>
    <row r="1455" spans="1:5" ht="15" hidden="1">
      <c r="A1455" s="87" t="s">
        <v>1</v>
      </c>
      <c r="B1455" s="87"/>
      <c r="C1455" s="87"/>
      <c r="D1455" s="87" t="s">
        <v>133</v>
      </c>
      <c r="E1455" s="373"/>
    </row>
    <row r="1456" spans="1:5" ht="15" hidden="1">
      <c r="A1456" s="87" t="s">
        <v>2</v>
      </c>
      <c r="B1456" s="87"/>
      <c r="C1456" s="87"/>
      <c r="D1456" s="87"/>
      <c r="E1456" s="374"/>
    </row>
    <row r="1457" spans="1:5" ht="15" hidden="1">
      <c r="A1457" s="87" t="s">
        <v>3</v>
      </c>
      <c r="B1457" s="87"/>
      <c r="C1457" s="87"/>
      <c r="D1457" s="87" t="s">
        <v>123</v>
      </c>
      <c r="E1457" s="373"/>
    </row>
    <row r="1458" spans="1:5" ht="15" hidden="1">
      <c r="A1458" s="87" t="s">
        <v>4</v>
      </c>
      <c r="B1458" s="87"/>
      <c r="C1458" s="87"/>
      <c r="D1458" s="87" t="s">
        <v>124</v>
      </c>
      <c r="E1458" s="373"/>
    </row>
    <row r="1459" spans="1:5" ht="15" hidden="1">
      <c r="A1459" s="107" t="s">
        <v>147</v>
      </c>
      <c r="B1459" s="87"/>
      <c r="C1459" s="87"/>
      <c r="D1459" s="87"/>
      <c r="E1459" s="373"/>
    </row>
    <row r="1460" spans="1:5" ht="15" hidden="1">
      <c r="A1460" s="87" t="s">
        <v>5</v>
      </c>
      <c r="B1460" s="87"/>
      <c r="C1460" s="87"/>
      <c r="D1460" s="87" t="s">
        <v>209</v>
      </c>
      <c r="E1460" s="373"/>
    </row>
    <row r="1461" spans="1:5" ht="15" hidden="1">
      <c r="A1461" s="1"/>
      <c r="B1461" s="1"/>
      <c r="C1461" s="1"/>
      <c r="D1461" s="1"/>
      <c r="E1461" s="316"/>
    </row>
    <row r="1462" spans="1:4" ht="15.75" hidden="1">
      <c r="A1462" s="96" t="s">
        <v>206</v>
      </c>
      <c r="B1462" s="96" t="s">
        <v>213</v>
      </c>
      <c r="C1462" s="2"/>
      <c r="D1462" s="2"/>
    </row>
    <row r="1463" spans="1:4" ht="15.75" hidden="1">
      <c r="A1463" s="96"/>
      <c r="B1463" s="96"/>
      <c r="C1463" s="179">
        <v>41961</v>
      </c>
      <c r="D1463" s="2"/>
    </row>
    <row r="1464" spans="1:4" ht="15.75" hidden="1">
      <c r="A1464" s="96"/>
      <c r="B1464" s="96"/>
      <c r="C1464" s="106" t="s">
        <v>146</v>
      </c>
      <c r="D1464" s="2"/>
    </row>
    <row r="1465" spans="1:5" ht="15" hidden="1">
      <c r="A1465" s="2" t="s">
        <v>6</v>
      </c>
      <c r="B1465" s="2"/>
      <c r="C1465" s="2"/>
      <c r="D1465" s="2"/>
      <c r="E1465" s="376"/>
    </row>
    <row r="1466" spans="1:5" ht="15" hidden="1">
      <c r="A1466" s="1" t="s">
        <v>174</v>
      </c>
      <c r="B1466" s="1"/>
      <c r="C1466" s="1"/>
      <c r="D1466" s="1"/>
      <c r="E1466" s="316"/>
    </row>
    <row r="1467" spans="1:5" ht="15" hidden="1">
      <c r="A1467" s="1" t="s">
        <v>7</v>
      </c>
      <c r="B1467" s="1"/>
      <c r="C1467" s="1"/>
      <c r="D1467" s="1"/>
      <c r="E1467" s="316"/>
    </row>
    <row r="1468" spans="1:5" ht="15.75" hidden="1" thickBot="1">
      <c r="A1468" s="177" t="s">
        <v>191</v>
      </c>
      <c r="B1468" s="177"/>
      <c r="C1468" s="177"/>
      <c r="D1468" s="177"/>
      <c r="E1468" s="418"/>
    </row>
    <row r="1469" spans="1:5" ht="15" hidden="1">
      <c r="A1469" s="117" t="s">
        <v>8</v>
      </c>
      <c r="B1469" s="118" t="s">
        <v>9</v>
      </c>
      <c r="C1469" s="118" t="s">
        <v>10</v>
      </c>
      <c r="D1469" s="118" t="s">
        <v>11</v>
      </c>
      <c r="E1469" s="397" t="s">
        <v>12</v>
      </c>
    </row>
    <row r="1470" spans="1:5" ht="15" hidden="1">
      <c r="A1470" s="121">
        <v>1</v>
      </c>
      <c r="B1470" s="24">
        <v>2</v>
      </c>
      <c r="C1470" s="24">
        <v>3</v>
      </c>
      <c r="D1470" s="24">
        <v>4</v>
      </c>
      <c r="E1470" s="398">
        <v>5</v>
      </c>
    </row>
    <row r="1471" spans="1:5" ht="15" hidden="1">
      <c r="A1471" s="221" t="s">
        <v>13</v>
      </c>
      <c r="B1471" s="222" t="s">
        <v>14</v>
      </c>
      <c r="C1471" s="26"/>
      <c r="D1471" s="26"/>
      <c r="E1471" s="399"/>
    </row>
    <row r="1472" spans="1:5" ht="17.25" hidden="1">
      <c r="A1472" s="225" t="s">
        <v>15</v>
      </c>
      <c r="B1472" s="231" t="s">
        <v>138</v>
      </c>
      <c r="C1472" s="211" t="s">
        <v>59</v>
      </c>
      <c r="D1472" s="163" t="s">
        <v>134</v>
      </c>
      <c r="E1472" s="400">
        <f>E1474+E1476</f>
        <v>19.234552397413022</v>
      </c>
    </row>
    <row r="1473" spans="1:5" ht="15.75" hidden="1">
      <c r="A1473" s="226"/>
      <c r="B1473" s="232"/>
      <c r="C1473" s="220" t="s">
        <v>202</v>
      </c>
      <c r="D1473" s="183"/>
      <c r="E1473" s="420">
        <f>E1472/3.4528</f>
        <v>5.57071142186429</v>
      </c>
    </row>
    <row r="1474" spans="1:5" ht="18.75" hidden="1">
      <c r="A1474" s="227" t="s">
        <v>16</v>
      </c>
      <c r="B1474" s="38" t="s">
        <v>18</v>
      </c>
      <c r="C1474" s="197" t="s">
        <v>59</v>
      </c>
      <c r="D1474" s="185" t="s">
        <v>126</v>
      </c>
      <c r="E1474" s="421">
        <v>4.57</v>
      </c>
    </row>
    <row r="1475" spans="1:5" ht="15.75" hidden="1">
      <c r="A1475" s="228"/>
      <c r="B1475" s="233"/>
      <c r="C1475" s="193" t="s">
        <v>202</v>
      </c>
      <c r="D1475" s="187"/>
      <c r="E1475" s="422">
        <f>E1474/3.4528</f>
        <v>1.323563484708063</v>
      </c>
    </row>
    <row r="1476" spans="1:5" ht="33" hidden="1">
      <c r="A1476" s="229" t="s">
        <v>17</v>
      </c>
      <c r="B1476" s="261" t="s">
        <v>19</v>
      </c>
      <c r="C1476" s="182" t="s">
        <v>59</v>
      </c>
      <c r="D1476" s="189" t="s">
        <v>188</v>
      </c>
      <c r="E1476" s="423">
        <f>0.29+((4325*E1482+226*E1490+106.1*E1486+509*E1494)/(44.84*1000))/10</f>
        <v>14.664552397413022</v>
      </c>
    </row>
    <row r="1477" spans="1:5" ht="15" hidden="1">
      <c r="A1477" s="230"/>
      <c r="B1477" s="235"/>
      <c r="C1477" s="193" t="s">
        <v>202</v>
      </c>
      <c r="D1477" s="190"/>
      <c r="E1477" s="424">
        <f>E1476/3.4528</f>
        <v>4.247147937156227</v>
      </c>
    </row>
    <row r="1478" spans="1:5" ht="15" hidden="1">
      <c r="A1478" s="223" t="s">
        <v>21</v>
      </c>
      <c r="B1478" s="224" t="s">
        <v>22</v>
      </c>
      <c r="C1478" s="31"/>
      <c r="D1478" s="188"/>
      <c r="E1478" s="402"/>
    </row>
    <row r="1479" spans="1:5" ht="15" hidden="1">
      <c r="A1479" s="166" t="s">
        <v>23</v>
      </c>
      <c r="B1479" s="48" t="s">
        <v>24</v>
      </c>
      <c r="C1479" s="49"/>
      <c r="D1479" s="49"/>
      <c r="E1479" s="403"/>
    </row>
    <row r="1480" spans="1:5" ht="15" hidden="1">
      <c r="A1480" s="164" t="s">
        <v>25</v>
      </c>
      <c r="B1480" s="24" t="s">
        <v>26</v>
      </c>
      <c r="C1480" s="32" t="s">
        <v>41</v>
      </c>
      <c r="D1480" s="24"/>
      <c r="E1480" s="404">
        <v>1053</v>
      </c>
    </row>
    <row r="1481" spans="1:5" ht="15" hidden="1">
      <c r="A1481" s="164" t="s">
        <v>27</v>
      </c>
      <c r="B1481" s="24" t="s">
        <v>28</v>
      </c>
      <c r="C1481" s="5" t="s">
        <v>41</v>
      </c>
      <c r="D1481" s="24"/>
      <c r="E1481" s="398">
        <v>313.23</v>
      </c>
    </row>
    <row r="1482" spans="1:5" ht="15" hidden="1">
      <c r="A1482" s="164" t="s">
        <v>29</v>
      </c>
      <c r="B1482" s="38" t="s">
        <v>30</v>
      </c>
      <c r="C1482" s="39" t="s">
        <v>41</v>
      </c>
      <c r="D1482" s="24"/>
      <c r="E1482" s="405">
        <f>E1480+E1481</f>
        <v>1366.23</v>
      </c>
    </row>
    <row r="1483" spans="1:5" ht="15" hidden="1">
      <c r="A1483" s="167" t="s">
        <v>31</v>
      </c>
      <c r="B1483" s="41" t="s">
        <v>177</v>
      </c>
      <c r="C1483" s="42"/>
      <c r="D1483" s="42"/>
      <c r="E1483" s="406"/>
    </row>
    <row r="1484" spans="1:5" ht="15" hidden="1">
      <c r="A1484" s="164" t="s">
        <v>35</v>
      </c>
      <c r="B1484" s="24" t="s">
        <v>26</v>
      </c>
      <c r="C1484" s="40" t="s">
        <v>33</v>
      </c>
      <c r="D1484" s="24"/>
      <c r="E1484" s="404"/>
    </row>
    <row r="1485" spans="1:5" ht="15" hidden="1">
      <c r="A1485" s="164" t="s">
        <v>36</v>
      </c>
      <c r="B1485" s="24" t="s">
        <v>28</v>
      </c>
      <c r="C1485" s="4" t="s">
        <v>33</v>
      </c>
      <c r="D1485" s="24"/>
      <c r="E1485" s="404"/>
    </row>
    <row r="1486" spans="1:5" ht="15" hidden="1">
      <c r="A1486" s="164" t="s">
        <v>37</v>
      </c>
      <c r="B1486" s="24" t="s">
        <v>30</v>
      </c>
      <c r="C1486" s="43" t="s">
        <v>33</v>
      </c>
      <c r="D1486" s="24"/>
      <c r="E1486" s="405">
        <v>593.75</v>
      </c>
    </row>
    <row r="1487" spans="1:5" ht="15" hidden="1">
      <c r="A1487" s="167" t="s">
        <v>31</v>
      </c>
      <c r="B1487" s="41" t="s">
        <v>178</v>
      </c>
      <c r="C1487" s="42"/>
      <c r="D1487" s="42"/>
      <c r="E1487" s="406"/>
    </row>
    <row r="1488" spans="1:5" ht="15" hidden="1">
      <c r="A1488" s="164" t="s">
        <v>35</v>
      </c>
      <c r="B1488" s="24" t="s">
        <v>26</v>
      </c>
      <c r="C1488" s="40" t="s">
        <v>33</v>
      </c>
      <c r="D1488" s="24"/>
      <c r="E1488" s="404"/>
    </row>
    <row r="1489" spans="1:5" ht="15" hidden="1">
      <c r="A1489" s="164" t="s">
        <v>36</v>
      </c>
      <c r="B1489" s="24" t="s">
        <v>28</v>
      </c>
      <c r="C1489" s="4" t="s">
        <v>33</v>
      </c>
      <c r="D1489" s="24"/>
      <c r="E1489" s="404"/>
    </row>
    <row r="1490" spans="1:5" ht="15" hidden="1">
      <c r="A1490" s="164" t="s">
        <v>37</v>
      </c>
      <c r="B1490" s="24" t="s">
        <v>30</v>
      </c>
      <c r="C1490" s="43" t="s">
        <v>33</v>
      </c>
      <c r="D1490" s="24"/>
      <c r="E1490" s="405">
        <v>592.37</v>
      </c>
    </row>
    <row r="1491" spans="1:5" ht="15" hidden="1">
      <c r="A1491" s="168" t="s">
        <v>34</v>
      </c>
      <c r="B1491" s="45" t="s">
        <v>103</v>
      </c>
      <c r="C1491" s="46"/>
      <c r="D1491" s="46"/>
      <c r="E1491" s="407"/>
    </row>
    <row r="1492" spans="1:5" ht="15" hidden="1">
      <c r="A1492" s="169" t="s">
        <v>38</v>
      </c>
      <c r="B1492" s="44" t="s">
        <v>26</v>
      </c>
      <c r="C1492" s="40" t="s">
        <v>33</v>
      </c>
      <c r="D1492" s="24"/>
      <c r="E1492" s="404" t="e">
        <f>#REF!</f>
        <v>#REF!</v>
      </c>
    </row>
    <row r="1493" spans="1:5" ht="15" hidden="1">
      <c r="A1493" s="169" t="s">
        <v>39</v>
      </c>
      <c r="B1493" s="24" t="s">
        <v>28</v>
      </c>
      <c r="C1493" s="4" t="s">
        <v>33</v>
      </c>
      <c r="D1493" s="24"/>
      <c r="E1493" s="398"/>
    </row>
    <row r="1494" spans="1:5" ht="15" hidden="1">
      <c r="A1494" s="21" t="s">
        <v>40</v>
      </c>
      <c r="B1494" s="38" t="s">
        <v>30</v>
      </c>
      <c r="C1494" s="43" t="s">
        <v>33</v>
      </c>
      <c r="D1494" s="24"/>
      <c r="E1494" s="405">
        <v>667.45</v>
      </c>
    </row>
    <row r="1495" spans="1:5" ht="15" hidden="1">
      <c r="A1495" s="170" t="s">
        <v>42</v>
      </c>
      <c r="B1495" s="51" t="s">
        <v>43</v>
      </c>
      <c r="C1495" s="52"/>
      <c r="D1495" s="52"/>
      <c r="E1495" s="408"/>
    </row>
    <row r="1496" spans="1:5" ht="15" hidden="1">
      <c r="A1496" s="121" t="s">
        <v>44</v>
      </c>
      <c r="B1496" s="24" t="s">
        <v>104</v>
      </c>
      <c r="C1496" s="24"/>
      <c r="D1496" s="24"/>
      <c r="E1496" s="409" t="s">
        <v>106</v>
      </c>
    </row>
    <row r="1497" spans="1:5" ht="15" hidden="1">
      <c r="A1497" s="121" t="s">
        <v>45</v>
      </c>
      <c r="B1497" s="24" t="s">
        <v>105</v>
      </c>
      <c r="C1497" s="11" t="s">
        <v>59</v>
      </c>
      <c r="D1497" s="24"/>
      <c r="E1497" s="398">
        <v>0</v>
      </c>
    </row>
    <row r="1498" spans="1:5" ht="17.25" hidden="1">
      <c r="A1498" s="171" t="s">
        <v>46</v>
      </c>
      <c r="B1498" s="91" t="s">
        <v>127</v>
      </c>
      <c r="C1498" s="94" t="s">
        <v>59</v>
      </c>
      <c r="D1498" s="95" t="s">
        <v>136</v>
      </c>
      <c r="E1498" s="417">
        <f>E1499+E1500</f>
        <v>19.234552397413022</v>
      </c>
    </row>
    <row r="1499" spans="1:5" ht="18.75" hidden="1">
      <c r="A1499" s="121" t="s">
        <v>48</v>
      </c>
      <c r="B1499" s="24" t="s">
        <v>49</v>
      </c>
      <c r="C1499" s="53" t="s">
        <v>59</v>
      </c>
      <c r="D1499" s="77" t="s">
        <v>128</v>
      </c>
      <c r="E1499" s="404">
        <f>E1474</f>
        <v>4.57</v>
      </c>
    </row>
    <row r="1500" spans="1:5" ht="33" hidden="1">
      <c r="A1500" s="165" t="s">
        <v>50</v>
      </c>
      <c r="B1500" s="35" t="s">
        <v>51</v>
      </c>
      <c r="C1500" s="27" t="s">
        <v>59</v>
      </c>
      <c r="D1500" s="54" t="s">
        <v>188</v>
      </c>
      <c r="E1500" s="411">
        <f>E1476</f>
        <v>14.664552397413022</v>
      </c>
    </row>
    <row r="1501" spans="1:5" ht="15" hidden="1">
      <c r="A1501" s="121" t="s">
        <v>52</v>
      </c>
      <c r="B1501" s="55" t="s">
        <v>53</v>
      </c>
      <c r="C1501" s="33"/>
      <c r="D1501" s="33"/>
      <c r="E1501" s="402"/>
    </row>
    <row r="1502" spans="1:5" ht="15" hidden="1">
      <c r="A1502" s="121" t="s">
        <v>54</v>
      </c>
      <c r="B1502" s="24" t="s">
        <v>55</v>
      </c>
      <c r="C1502" s="11" t="s">
        <v>56</v>
      </c>
      <c r="D1502" s="24"/>
      <c r="E1502" s="398">
        <v>33.34</v>
      </c>
    </row>
    <row r="1503" spans="1:5" ht="15" hidden="1">
      <c r="A1503" s="121" t="s">
        <v>57</v>
      </c>
      <c r="B1503" s="24" t="s">
        <v>58</v>
      </c>
      <c r="C1503" s="11" t="s">
        <v>59</v>
      </c>
      <c r="D1503" s="56" t="s">
        <v>47</v>
      </c>
      <c r="E1503" s="404">
        <f>E1500</f>
        <v>14.664552397413022</v>
      </c>
    </row>
    <row r="1504" spans="1:5" ht="15" hidden="1">
      <c r="A1504" s="162" t="s">
        <v>60</v>
      </c>
      <c r="B1504" s="559" t="s">
        <v>61</v>
      </c>
      <c r="C1504" s="560"/>
      <c r="D1504" s="560"/>
      <c r="E1504" s="561"/>
    </row>
    <row r="1505" spans="1:5" ht="17.25" hidden="1">
      <c r="A1505" s="204" t="s">
        <v>62</v>
      </c>
      <c r="B1505" s="194" t="s">
        <v>137</v>
      </c>
      <c r="C1505" s="195" t="s">
        <v>59</v>
      </c>
      <c r="D1505" s="191" t="s">
        <v>135</v>
      </c>
      <c r="E1505" s="425">
        <f>E1507+E1509</f>
        <v>6.553674450991231</v>
      </c>
    </row>
    <row r="1506" spans="1:5" ht="15.75" hidden="1">
      <c r="A1506" s="196"/>
      <c r="B1506" s="205"/>
      <c r="C1506" s="193" t="s">
        <v>202</v>
      </c>
      <c r="D1506" s="192"/>
      <c r="E1506" s="420">
        <f>E1505/3.4528</f>
        <v>1.8980753159729007</v>
      </c>
    </row>
    <row r="1507" spans="1:5" ht="18.75" hidden="1">
      <c r="A1507" s="200" t="s">
        <v>63</v>
      </c>
      <c r="B1507" s="206" t="s">
        <v>64</v>
      </c>
      <c r="C1507" s="197" t="s">
        <v>59</v>
      </c>
      <c r="D1507" s="185" t="s">
        <v>129</v>
      </c>
      <c r="E1507" s="402">
        <v>2.44</v>
      </c>
    </row>
    <row r="1508" spans="1:5" ht="15.75" hidden="1">
      <c r="A1508" s="201"/>
      <c r="B1508" s="207"/>
      <c r="C1508" s="193" t="s">
        <v>202</v>
      </c>
      <c r="D1508" s="186"/>
      <c r="E1508" s="420">
        <f>E1507/3.4528</f>
        <v>0.7066728452270621</v>
      </c>
    </row>
    <row r="1509" spans="1:5" ht="18.75" hidden="1">
      <c r="A1509" s="200" t="s">
        <v>65</v>
      </c>
      <c r="B1509" s="208" t="s">
        <v>66</v>
      </c>
      <c r="C1509" s="197" t="s">
        <v>59</v>
      </c>
      <c r="D1509" s="202" t="s">
        <v>189</v>
      </c>
      <c r="E1509" s="426">
        <f>0.41+(7.24*E1472/37.6)</f>
        <v>4.113674450991231</v>
      </c>
    </row>
    <row r="1510" spans="1:5" ht="15.75" hidden="1">
      <c r="A1510" s="201"/>
      <c r="B1510" s="209"/>
      <c r="C1510" s="193" t="s">
        <v>202</v>
      </c>
      <c r="D1510" s="203"/>
      <c r="E1510" s="420">
        <f>E1509/3.4528</f>
        <v>1.1914024707458384</v>
      </c>
    </row>
    <row r="1511" spans="1:5" ht="15" hidden="1">
      <c r="A1511" s="198" t="s">
        <v>67</v>
      </c>
      <c r="B1511" s="199" t="s">
        <v>68</v>
      </c>
      <c r="C1511" s="9"/>
      <c r="D1511" s="44"/>
      <c r="E1511" s="398"/>
    </row>
    <row r="1512" spans="1:5" ht="15" hidden="1">
      <c r="A1512" s="12" t="s">
        <v>69</v>
      </c>
      <c r="B1512" s="17" t="s">
        <v>55</v>
      </c>
      <c r="C1512" s="10" t="s">
        <v>56</v>
      </c>
      <c r="D1512" s="24"/>
      <c r="E1512" s="404">
        <v>16.1</v>
      </c>
    </row>
    <row r="1513" spans="1:5" ht="18.75" hidden="1">
      <c r="A1513" s="12" t="s">
        <v>70</v>
      </c>
      <c r="B1513" s="17" t="s">
        <v>71</v>
      </c>
      <c r="C1513" s="11" t="s">
        <v>59</v>
      </c>
      <c r="D1513" s="77" t="s">
        <v>131</v>
      </c>
      <c r="E1513" s="404">
        <f>E1509</f>
        <v>4.113674450991231</v>
      </c>
    </row>
    <row r="1514" spans="1:5" ht="15" hidden="1">
      <c r="A1514" s="172" t="s">
        <v>72</v>
      </c>
      <c r="B1514" s="562" t="s">
        <v>73</v>
      </c>
      <c r="C1514" s="563"/>
      <c r="D1514" s="563"/>
      <c r="E1514" s="564"/>
    </row>
    <row r="1515" spans="1:5" ht="15" hidden="1">
      <c r="A1515" s="557" t="s">
        <v>79</v>
      </c>
      <c r="B1515" s="18" t="s">
        <v>74</v>
      </c>
      <c r="C1515" s="11" t="s">
        <v>59</v>
      </c>
      <c r="D1515" s="79" t="s">
        <v>106</v>
      </c>
      <c r="E1515" s="412">
        <v>0.31</v>
      </c>
    </row>
    <row r="1516" spans="1:5" ht="15" hidden="1">
      <c r="A1516" s="558"/>
      <c r="B1516" s="19" t="s">
        <v>75</v>
      </c>
      <c r="C1516" s="53" t="s">
        <v>76</v>
      </c>
      <c r="D1516" s="79" t="s">
        <v>106</v>
      </c>
      <c r="E1516" s="412">
        <v>2.34</v>
      </c>
    </row>
    <row r="1517" spans="1:5" ht="15.75" hidden="1" thickBot="1">
      <c r="A1517" s="558"/>
      <c r="B1517" s="19" t="s">
        <v>210</v>
      </c>
      <c r="C1517" s="78" t="s">
        <v>78</v>
      </c>
      <c r="D1517" s="79" t="s">
        <v>106</v>
      </c>
      <c r="E1517" s="412">
        <v>46.34</v>
      </c>
    </row>
    <row r="1518" spans="1:5" ht="15" hidden="1">
      <c r="A1518" s="172" t="s">
        <v>80</v>
      </c>
      <c r="B1518" s="82" t="s">
        <v>81</v>
      </c>
      <c r="C1518" s="11" t="s">
        <v>59</v>
      </c>
      <c r="D1518" s="62"/>
      <c r="E1518" s="412">
        <v>-0.07</v>
      </c>
    </row>
    <row r="1519" spans="1:5" ht="15" hidden="1">
      <c r="A1519" s="172" t="s">
        <v>82</v>
      </c>
      <c r="B1519" s="82" t="s">
        <v>83</v>
      </c>
      <c r="C1519" s="11" t="s">
        <v>59</v>
      </c>
      <c r="D1519" s="62"/>
      <c r="E1519" s="412">
        <v>-0.14</v>
      </c>
    </row>
    <row r="1520" spans="1:5" ht="15" hidden="1">
      <c r="A1520" s="217" t="s">
        <v>84</v>
      </c>
      <c r="B1520" s="212" t="s">
        <v>179</v>
      </c>
      <c r="C1520" s="210" t="s">
        <v>59</v>
      </c>
      <c r="D1520" s="62"/>
      <c r="E1520" s="413">
        <f>19.23+6.55+0.31-0.21</f>
        <v>25.88</v>
      </c>
    </row>
    <row r="1521" spans="1:5" ht="15" hidden="1">
      <c r="A1521" s="215"/>
      <c r="B1521" s="214"/>
      <c r="C1521" s="193" t="s">
        <v>202</v>
      </c>
      <c r="D1521" s="62"/>
      <c r="E1521" s="427">
        <f>E1520/3.4528</f>
        <v>7.495366079703429</v>
      </c>
    </row>
    <row r="1522" spans="1:5" ht="15" hidden="1">
      <c r="A1522" s="216" t="s">
        <v>85</v>
      </c>
      <c r="B1522" s="82" t="s">
        <v>86</v>
      </c>
      <c r="C1522" s="210" t="s">
        <v>59</v>
      </c>
      <c r="D1522" s="62"/>
      <c r="E1522" s="412">
        <v>0</v>
      </c>
    </row>
    <row r="1523" spans="1:5" ht="15" hidden="1">
      <c r="A1523" s="217" t="s">
        <v>87</v>
      </c>
      <c r="B1523" s="212" t="s">
        <v>88</v>
      </c>
      <c r="C1523" s="211" t="s">
        <v>59</v>
      </c>
      <c r="D1523" s="84"/>
      <c r="E1523" s="413">
        <f>E1520</f>
        <v>25.88</v>
      </c>
    </row>
    <row r="1524" spans="1:5" ht="15" hidden="1">
      <c r="A1524" s="215"/>
      <c r="B1524" s="214"/>
      <c r="C1524" s="193" t="s">
        <v>202</v>
      </c>
      <c r="D1524" s="84"/>
      <c r="E1524" s="427">
        <f>E1523/3.4528</f>
        <v>7.495366079703429</v>
      </c>
    </row>
    <row r="1525" spans="1:5" ht="15" hidden="1">
      <c r="A1525" s="217" t="s">
        <v>89</v>
      </c>
      <c r="B1525" s="212" t="s">
        <v>90</v>
      </c>
      <c r="C1525" s="211" t="s">
        <v>59</v>
      </c>
      <c r="D1525" s="84"/>
      <c r="E1525" s="414">
        <f>E1523*1.09</f>
        <v>28.209200000000003</v>
      </c>
    </row>
    <row r="1526" spans="1:5" ht="15" hidden="1">
      <c r="A1526" s="218"/>
      <c r="B1526" s="219"/>
      <c r="C1526" s="193" t="s">
        <v>202</v>
      </c>
      <c r="D1526" s="84"/>
      <c r="E1526" s="427">
        <f>E1525/3.4528</f>
        <v>8.169949026876738</v>
      </c>
    </row>
    <row r="1527" spans="1:5" ht="15" hidden="1">
      <c r="A1527" s="217" t="s">
        <v>91</v>
      </c>
      <c r="B1527" s="212" t="s">
        <v>92</v>
      </c>
      <c r="C1527" s="211" t="s">
        <v>59</v>
      </c>
      <c r="D1527" s="84"/>
      <c r="E1527" s="414">
        <f>E1433</f>
        <v>26.130136023936164</v>
      </c>
    </row>
    <row r="1528" spans="1:5" ht="15" hidden="1">
      <c r="A1528" s="215"/>
      <c r="B1528" s="214"/>
      <c r="C1528" s="193" t="s">
        <v>202</v>
      </c>
      <c r="D1528" s="84"/>
      <c r="E1528" s="427">
        <f>E1527/3.4528</f>
        <v>7.5678104795922625</v>
      </c>
    </row>
    <row r="1529" spans="1:5" ht="15" hidden="1">
      <c r="A1529" s="213" t="s">
        <v>93</v>
      </c>
      <c r="B1529" s="214" t="s">
        <v>94</v>
      </c>
      <c r="C1529" s="81" t="s">
        <v>95</v>
      </c>
      <c r="D1529" s="84"/>
      <c r="E1529" s="414">
        <f>(E1520/E1527)*100-100</f>
        <v>-0.9572702710274115</v>
      </c>
    </row>
    <row r="1530" spans="1:5" ht="15" hidden="1">
      <c r="A1530" s="172" t="s">
        <v>96</v>
      </c>
      <c r="B1530" s="83" t="s">
        <v>97</v>
      </c>
      <c r="C1530" s="85" t="s">
        <v>98</v>
      </c>
      <c r="D1530" s="86"/>
      <c r="E1530" s="419">
        <v>2.4</v>
      </c>
    </row>
    <row r="1531" spans="1:5" ht="15" hidden="1">
      <c r="A1531" s="172" t="s">
        <v>99</v>
      </c>
      <c r="B1531" s="83" t="s">
        <v>100</v>
      </c>
      <c r="C1531" s="80" t="s">
        <v>98</v>
      </c>
      <c r="D1531" s="62"/>
      <c r="E1531" s="419">
        <v>1.9</v>
      </c>
    </row>
    <row r="1532" spans="1:5" ht="15.75" hidden="1" thickBot="1">
      <c r="A1532" s="22" t="s">
        <v>101</v>
      </c>
      <c r="B1532" s="23" t="s">
        <v>102</v>
      </c>
      <c r="C1532" s="173" t="s">
        <v>98</v>
      </c>
      <c r="D1532" s="174"/>
      <c r="E1532" s="416">
        <v>0</v>
      </c>
    </row>
    <row r="1533" ht="15" hidden="1"/>
    <row r="1534" ht="15" hidden="1"/>
    <row r="1535" spans="2:4" ht="15" hidden="1">
      <c r="B1535" s="180"/>
      <c r="C1535" s="181"/>
      <c r="D1535" s="181"/>
    </row>
    <row r="1536" ht="15" hidden="1"/>
    <row r="1537" ht="15" hidden="1"/>
    <row r="1538" ht="15" hidden="1"/>
    <row r="1539" ht="15" hidden="1"/>
    <row r="1540" ht="15" hidden="1"/>
    <row r="1541" spans="2:4" ht="15" hidden="1">
      <c r="B1541" t="s">
        <v>144</v>
      </c>
      <c r="C1541" t="s">
        <v>148</v>
      </c>
      <c r="D1541" s="101" t="s">
        <v>145</v>
      </c>
    </row>
    <row r="1542" ht="15" hidden="1">
      <c r="C1542" s="108" t="s">
        <v>149</v>
      </c>
    </row>
    <row r="1543" ht="15" hidden="1"/>
    <row r="1544" spans="1:5" ht="15" hidden="1">
      <c r="A1544" s="87" t="s">
        <v>0</v>
      </c>
      <c r="B1544" s="87"/>
      <c r="C1544" s="87"/>
      <c r="D1544" s="87"/>
      <c r="E1544" s="334" t="s">
        <v>107</v>
      </c>
    </row>
    <row r="1545" spans="1:5" ht="15" hidden="1">
      <c r="A1545" s="87" t="s">
        <v>1</v>
      </c>
      <c r="B1545" s="87"/>
      <c r="C1545" s="87"/>
      <c r="D1545" s="87" t="s">
        <v>133</v>
      </c>
      <c r="E1545" s="373"/>
    </row>
    <row r="1546" spans="1:5" ht="15" hidden="1">
      <c r="A1546" s="87" t="s">
        <v>2</v>
      </c>
      <c r="B1546" s="87"/>
      <c r="C1546" s="87"/>
      <c r="D1546" s="87" t="s">
        <v>215</v>
      </c>
      <c r="E1546" s="374"/>
    </row>
    <row r="1547" spans="1:5" ht="15" hidden="1">
      <c r="A1547" s="87" t="s">
        <v>3</v>
      </c>
      <c r="B1547" s="87"/>
      <c r="C1547" s="87"/>
      <c r="D1547" s="87" t="s">
        <v>123</v>
      </c>
      <c r="E1547" s="373"/>
    </row>
    <row r="1548" spans="1:5" ht="15" hidden="1">
      <c r="A1548" s="87" t="s">
        <v>4</v>
      </c>
      <c r="B1548" s="87"/>
      <c r="C1548" s="87"/>
      <c r="D1548" s="87" t="s">
        <v>124</v>
      </c>
      <c r="E1548" s="373"/>
    </row>
    <row r="1549" spans="1:5" ht="15" hidden="1">
      <c r="A1549" s="107" t="s">
        <v>147</v>
      </c>
      <c r="B1549" s="87"/>
      <c r="C1549" s="87"/>
      <c r="D1549" s="87"/>
      <c r="E1549" s="373"/>
    </row>
    <row r="1550" spans="1:5" ht="15" hidden="1">
      <c r="A1550" s="87" t="s">
        <v>5</v>
      </c>
      <c r="B1550" s="87"/>
      <c r="C1550" s="87"/>
      <c r="D1550" s="87" t="s">
        <v>125</v>
      </c>
      <c r="E1550" s="373"/>
    </row>
    <row r="1551" spans="1:5" ht="15" hidden="1">
      <c r="A1551" s="1"/>
      <c r="B1551" s="1"/>
      <c r="C1551" s="1"/>
      <c r="D1551" s="1"/>
      <c r="E1551" s="316"/>
    </row>
    <row r="1552" spans="1:4" ht="15.75" hidden="1">
      <c r="A1552" s="96" t="s">
        <v>206</v>
      </c>
      <c r="B1552" s="96" t="s">
        <v>216</v>
      </c>
      <c r="C1552" s="2"/>
      <c r="D1552" s="2"/>
    </row>
    <row r="1553" spans="1:4" ht="15.75" hidden="1">
      <c r="A1553" s="96"/>
      <c r="B1553" s="96"/>
      <c r="C1553" s="179">
        <v>41992</v>
      </c>
      <c r="D1553" s="2"/>
    </row>
    <row r="1554" spans="1:4" ht="15.75" hidden="1">
      <c r="A1554" s="96"/>
      <c r="B1554" s="96"/>
      <c r="C1554" s="106" t="s">
        <v>146</v>
      </c>
      <c r="D1554" s="2"/>
    </row>
    <row r="1555" spans="1:5" ht="15" hidden="1">
      <c r="A1555" s="2" t="s">
        <v>6</v>
      </c>
      <c r="B1555" s="2"/>
      <c r="C1555" s="2"/>
      <c r="D1555" s="2"/>
      <c r="E1555" s="376"/>
    </row>
    <row r="1556" spans="1:5" ht="15" hidden="1">
      <c r="A1556" s="1" t="s">
        <v>174</v>
      </c>
      <c r="B1556" s="1"/>
      <c r="C1556" s="1"/>
      <c r="D1556" s="1"/>
      <c r="E1556" s="316"/>
    </row>
    <row r="1557" spans="1:5" ht="15" hidden="1">
      <c r="A1557" s="1" t="s">
        <v>7</v>
      </c>
      <c r="B1557" s="1"/>
      <c r="C1557" s="1"/>
      <c r="D1557" s="1"/>
      <c r="E1557" s="316"/>
    </row>
    <row r="1558" spans="1:5" ht="15.75" hidden="1" thickBot="1">
      <c r="A1558" s="177" t="s">
        <v>191</v>
      </c>
      <c r="B1558" s="177"/>
      <c r="C1558" s="177"/>
      <c r="D1558" s="177"/>
      <c r="E1558" s="418"/>
    </row>
    <row r="1559" spans="1:5" ht="15" hidden="1">
      <c r="A1559" s="117" t="s">
        <v>8</v>
      </c>
      <c r="B1559" s="118" t="s">
        <v>9</v>
      </c>
      <c r="C1559" s="118" t="s">
        <v>10</v>
      </c>
      <c r="D1559" s="118" t="s">
        <v>11</v>
      </c>
      <c r="E1559" s="397" t="s">
        <v>12</v>
      </c>
    </row>
    <row r="1560" spans="1:5" ht="15" hidden="1">
      <c r="A1560" s="121">
        <v>1</v>
      </c>
      <c r="B1560" s="24">
        <v>2</v>
      </c>
      <c r="C1560" s="24">
        <v>3</v>
      </c>
      <c r="D1560" s="24">
        <v>4</v>
      </c>
      <c r="E1560" s="398">
        <v>5</v>
      </c>
    </row>
    <row r="1561" spans="1:5" ht="15" hidden="1">
      <c r="A1561" s="221" t="s">
        <v>13</v>
      </c>
      <c r="B1561" s="222" t="s">
        <v>14</v>
      </c>
      <c r="C1561" s="26"/>
      <c r="D1561" s="26"/>
      <c r="E1561" s="399"/>
    </row>
    <row r="1562" spans="1:5" ht="17.25" hidden="1">
      <c r="A1562" s="225" t="s">
        <v>15</v>
      </c>
      <c r="B1562" s="231" t="s">
        <v>138</v>
      </c>
      <c r="C1562" s="211" t="s">
        <v>59</v>
      </c>
      <c r="D1562" s="163" t="s">
        <v>134</v>
      </c>
      <c r="E1562" s="400">
        <f>E1564+E1566</f>
        <v>18.878094727921496</v>
      </c>
    </row>
    <row r="1563" spans="1:5" ht="15.75" hidden="1">
      <c r="A1563" s="226"/>
      <c r="B1563" s="232"/>
      <c r="C1563" s="220" t="s">
        <v>202</v>
      </c>
      <c r="D1563" s="183"/>
      <c r="E1563" s="420">
        <f>E1562/3.4528</f>
        <v>5.4674741450189694</v>
      </c>
    </row>
    <row r="1564" spans="1:5" ht="18.75" hidden="1">
      <c r="A1564" s="227" t="s">
        <v>16</v>
      </c>
      <c r="B1564" s="38" t="s">
        <v>18</v>
      </c>
      <c r="C1564" s="197" t="s">
        <v>59</v>
      </c>
      <c r="D1564" s="185" t="s">
        <v>126</v>
      </c>
      <c r="E1564" s="421">
        <v>4.57</v>
      </c>
    </row>
    <row r="1565" spans="1:5" ht="15.75" hidden="1">
      <c r="A1565" s="228"/>
      <c r="B1565" s="233"/>
      <c r="C1565" s="193" t="s">
        <v>202</v>
      </c>
      <c r="D1565" s="187"/>
      <c r="E1565" s="422">
        <f>E1564/3.4528</f>
        <v>1.323563484708063</v>
      </c>
    </row>
    <row r="1566" spans="1:5" ht="33" hidden="1">
      <c r="A1566" s="229" t="s">
        <v>17</v>
      </c>
      <c r="B1566" s="262" t="s">
        <v>19</v>
      </c>
      <c r="C1566" s="182" t="s">
        <v>59</v>
      </c>
      <c r="D1566" s="189" t="s">
        <v>188</v>
      </c>
      <c r="E1566" s="423">
        <f>0.29+((4325*E1572+226*E1580+106.1*E1576+509*E1584)/(44.84*1000))/10</f>
        <v>14.308094727921496</v>
      </c>
    </row>
    <row r="1567" spans="1:5" ht="15" hidden="1">
      <c r="A1567" s="230"/>
      <c r="B1567" s="235"/>
      <c r="C1567" s="193" t="s">
        <v>202</v>
      </c>
      <c r="D1567" s="190"/>
      <c r="E1567" s="424">
        <f>E1566/3.4528</f>
        <v>4.143910660310906</v>
      </c>
    </row>
    <row r="1568" spans="1:5" ht="15" hidden="1">
      <c r="A1568" s="223" t="s">
        <v>21</v>
      </c>
      <c r="B1568" s="224" t="s">
        <v>22</v>
      </c>
      <c r="C1568" s="31"/>
      <c r="D1568" s="188"/>
      <c r="E1568" s="402"/>
    </row>
    <row r="1569" spans="1:5" ht="15" hidden="1">
      <c r="A1569" s="166" t="s">
        <v>23</v>
      </c>
      <c r="B1569" s="48" t="s">
        <v>24</v>
      </c>
      <c r="C1569" s="49"/>
      <c r="D1569" s="49"/>
      <c r="E1569" s="403"/>
    </row>
    <row r="1570" spans="1:5" ht="15" hidden="1">
      <c r="A1570" s="164" t="s">
        <v>25</v>
      </c>
      <c r="B1570" s="24" t="s">
        <v>26</v>
      </c>
      <c r="C1570" s="32" t="s">
        <v>41</v>
      </c>
      <c r="D1570" s="24"/>
      <c r="E1570" s="404">
        <v>1023.41</v>
      </c>
    </row>
    <row r="1571" spans="1:5" ht="15" hidden="1">
      <c r="A1571" s="164" t="s">
        <v>27</v>
      </c>
      <c r="B1571" s="24" t="s">
        <v>28</v>
      </c>
      <c r="C1571" s="5" t="s">
        <v>41</v>
      </c>
      <c r="D1571" s="24"/>
      <c r="E1571" s="398">
        <v>313.23</v>
      </c>
    </row>
    <row r="1572" spans="1:5" ht="15" hidden="1">
      <c r="A1572" s="164" t="s">
        <v>29</v>
      </c>
      <c r="B1572" s="38" t="s">
        <v>30</v>
      </c>
      <c r="C1572" s="39" t="s">
        <v>41</v>
      </c>
      <c r="D1572" s="24"/>
      <c r="E1572" s="405">
        <f>E1570+E1571</f>
        <v>1336.6399999999999</v>
      </c>
    </row>
    <row r="1573" spans="1:5" ht="15" hidden="1">
      <c r="A1573" s="167" t="s">
        <v>31</v>
      </c>
      <c r="B1573" s="41" t="s">
        <v>177</v>
      </c>
      <c r="C1573" s="42"/>
      <c r="D1573" s="42"/>
      <c r="E1573" s="406"/>
    </row>
    <row r="1574" spans="1:5" ht="15" hidden="1">
      <c r="A1574" s="164" t="s">
        <v>35</v>
      </c>
      <c r="B1574" s="24" t="s">
        <v>26</v>
      </c>
      <c r="C1574" s="40" t="s">
        <v>33</v>
      </c>
      <c r="D1574" s="24"/>
      <c r="E1574" s="404"/>
    </row>
    <row r="1575" spans="1:5" ht="15" hidden="1">
      <c r="A1575" s="164" t="s">
        <v>36</v>
      </c>
      <c r="B1575" s="24" t="s">
        <v>28</v>
      </c>
      <c r="C1575" s="4" t="s">
        <v>33</v>
      </c>
      <c r="D1575" s="24"/>
      <c r="E1575" s="404"/>
    </row>
    <row r="1576" spans="1:5" ht="15" hidden="1">
      <c r="A1576" s="164" t="s">
        <v>37</v>
      </c>
      <c r="B1576" s="24" t="s">
        <v>30</v>
      </c>
      <c r="C1576" s="43" t="s">
        <v>33</v>
      </c>
      <c r="D1576" s="24"/>
      <c r="E1576" s="405">
        <v>599.96</v>
      </c>
    </row>
    <row r="1577" spans="1:5" ht="15" hidden="1">
      <c r="A1577" s="167" t="s">
        <v>31</v>
      </c>
      <c r="B1577" s="41" t="s">
        <v>178</v>
      </c>
      <c r="C1577" s="271"/>
      <c r="D1577" s="42"/>
      <c r="E1577" s="406"/>
    </row>
    <row r="1578" spans="1:5" ht="15" hidden="1">
      <c r="A1578" s="164" t="s">
        <v>35</v>
      </c>
      <c r="B1578" s="24" t="s">
        <v>26</v>
      </c>
      <c r="C1578" s="270" t="s">
        <v>33</v>
      </c>
      <c r="D1578" s="24"/>
      <c r="E1578" s="404"/>
    </row>
    <row r="1579" spans="1:5" ht="15" hidden="1">
      <c r="A1579" s="164" t="s">
        <v>36</v>
      </c>
      <c r="B1579" s="24" t="s">
        <v>28</v>
      </c>
      <c r="C1579" s="4" t="s">
        <v>33</v>
      </c>
      <c r="D1579" s="24"/>
      <c r="E1579" s="404"/>
    </row>
    <row r="1580" spans="1:5" ht="15" hidden="1">
      <c r="A1580" s="164" t="s">
        <v>37</v>
      </c>
      <c r="B1580" s="24" t="s">
        <v>30</v>
      </c>
      <c r="C1580" s="43" t="s">
        <v>33</v>
      </c>
      <c r="D1580" s="24"/>
      <c r="E1580" s="405">
        <v>332.79</v>
      </c>
    </row>
    <row r="1581" spans="1:5" ht="15" hidden="1">
      <c r="A1581" s="168" t="s">
        <v>34</v>
      </c>
      <c r="B1581" s="45" t="s">
        <v>103</v>
      </c>
      <c r="C1581" s="46"/>
      <c r="D1581" s="46"/>
      <c r="E1581" s="407"/>
    </row>
    <row r="1582" spans="1:5" ht="15" hidden="1">
      <c r="A1582" s="169" t="s">
        <v>38</v>
      </c>
      <c r="B1582" s="44" t="s">
        <v>26</v>
      </c>
      <c r="C1582" s="40" t="s">
        <v>33</v>
      </c>
      <c r="D1582" s="24"/>
      <c r="E1582" s="404" t="e">
        <f>#REF!</f>
        <v>#REF!</v>
      </c>
    </row>
    <row r="1583" spans="1:5" ht="15" hidden="1">
      <c r="A1583" s="169" t="s">
        <v>39</v>
      </c>
      <c r="B1583" s="24" t="s">
        <v>28</v>
      </c>
      <c r="C1583" s="4" t="s">
        <v>33</v>
      </c>
      <c r="D1583" s="24"/>
      <c r="E1583" s="398"/>
    </row>
    <row r="1584" spans="1:5" ht="15" hidden="1">
      <c r="A1584" s="21" t="s">
        <v>40</v>
      </c>
      <c r="B1584" s="38" t="s">
        <v>30</v>
      </c>
      <c r="C1584" s="43" t="s">
        <v>33</v>
      </c>
      <c r="D1584" s="24"/>
      <c r="E1584" s="405">
        <v>718.82</v>
      </c>
    </row>
    <row r="1585" spans="1:5" ht="15" hidden="1">
      <c r="A1585" s="170" t="s">
        <v>42</v>
      </c>
      <c r="B1585" s="51" t="s">
        <v>43</v>
      </c>
      <c r="C1585" s="52"/>
      <c r="D1585" s="52"/>
      <c r="E1585" s="408"/>
    </row>
    <row r="1586" spans="1:5" ht="15" hidden="1">
      <c r="A1586" s="121" t="s">
        <v>44</v>
      </c>
      <c r="B1586" s="24" t="s">
        <v>104</v>
      </c>
      <c r="C1586" s="24"/>
      <c r="D1586" s="24"/>
      <c r="E1586" s="409" t="s">
        <v>106</v>
      </c>
    </row>
    <row r="1587" spans="1:5" ht="15" hidden="1">
      <c r="A1587" s="121" t="s">
        <v>45</v>
      </c>
      <c r="B1587" s="24" t="s">
        <v>105</v>
      </c>
      <c r="C1587" s="11" t="s">
        <v>59</v>
      </c>
      <c r="D1587" s="24"/>
      <c r="E1587" s="398">
        <v>0</v>
      </c>
    </row>
    <row r="1588" spans="1:5" ht="17.25" hidden="1">
      <c r="A1588" s="171" t="s">
        <v>46</v>
      </c>
      <c r="B1588" s="91" t="s">
        <v>127</v>
      </c>
      <c r="C1588" s="94" t="s">
        <v>59</v>
      </c>
      <c r="D1588" s="95" t="s">
        <v>136</v>
      </c>
      <c r="E1588" s="417">
        <f>E1589+E1590</f>
        <v>18.878094727921496</v>
      </c>
    </row>
    <row r="1589" spans="1:5" ht="18.75" hidden="1">
      <c r="A1589" s="121" t="s">
        <v>48</v>
      </c>
      <c r="B1589" s="24" t="s">
        <v>49</v>
      </c>
      <c r="C1589" s="53" t="s">
        <v>59</v>
      </c>
      <c r="D1589" s="77" t="s">
        <v>128</v>
      </c>
      <c r="E1589" s="404">
        <f>E1564</f>
        <v>4.57</v>
      </c>
    </row>
    <row r="1590" spans="1:5" ht="33" hidden="1">
      <c r="A1590" s="165" t="s">
        <v>50</v>
      </c>
      <c r="B1590" s="35" t="s">
        <v>51</v>
      </c>
      <c r="C1590" s="27" t="s">
        <v>59</v>
      </c>
      <c r="D1590" s="54" t="s">
        <v>188</v>
      </c>
      <c r="E1590" s="411">
        <f>E1566</f>
        <v>14.308094727921496</v>
      </c>
    </row>
    <row r="1591" spans="1:5" ht="15" hidden="1">
      <c r="A1591" s="121" t="s">
        <v>52</v>
      </c>
      <c r="B1591" s="55" t="s">
        <v>53</v>
      </c>
      <c r="C1591" s="33"/>
      <c r="D1591" s="33"/>
      <c r="E1591" s="402"/>
    </row>
    <row r="1592" spans="1:5" ht="15" hidden="1">
      <c r="A1592" s="121" t="s">
        <v>54</v>
      </c>
      <c r="B1592" s="24" t="s">
        <v>55</v>
      </c>
      <c r="C1592" s="11" t="s">
        <v>56</v>
      </c>
      <c r="D1592" s="24"/>
      <c r="E1592" s="398">
        <v>33.34</v>
      </c>
    </row>
    <row r="1593" spans="1:5" ht="15" hidden="1">
      <c r="A1593" s="121" t="s">
        <v>57</v>
      </c>
      <c r="B1593" s="24" t="s">
        <v>58</v>
      </c>
      <c r="C1593" s="11" t="s">
        <v>59</v>
      </c>
      <c r="D1593" s="56" t="s">
        <v>47</v>
      </c>
      <c r="E1593" s="404">
        <f>E1590</f>
        <v>14.308094727921496</v>
      </c>
    </row>
    <row r="1594" spans="1:5" ht="15" hidden="1">
      <c r="A1594" s="162" t="s">
        <v>60</v>
      </c>
      <c r="B1594" s="559" t="s">
        <v>61</v>
      </c>
      <c r="C1594" s="560"/>
      <c r="D1594" s="560"/>
      <c r="E1594" s="561"/>
    </row>
    <row r="1595" spans="1:5" ht="17.25" hidden="1">
      <c r="A1595" s="204" t="s">
        <v>62</v>
      </c>
      <c r="B1595" s="194" t="s">
        <v>137</v>
      </c>
      <c r="C1595" s="195" t="s">
        <v>59</v>
      </c>
      <c r="D1595" s="191" t="s">
        <v>135</v>
      </c>
      <c r="E1595" s="425">
        <f>E1597+E1599</f>
        <v>6.485037389099777</v>
      </c>
    </row>
    <row r="1596" spans="1:5" ht="15.75" hidden="1">
      <c r="A1596" s="196"/>
      <c r="B1596" s="205"/>
      <c r="C1596" s="193" t="s">
        <v>202</v>
      </c>
      <c r="D1596" s="192"/>
      <c r="E1596" s="420">
        <f>E1595/3.4528</f>
        <v>1.878196648835663</v>
      </c>
    </row>
    <row r="1597" spans="1:5" ht="18.75" hidden="1">
      <c r="A1597" s="200" t="s">
        <v>63</v>
      </c>
      <c r="B1597" s="206" t="s">
        <v>64</v>
      </c>
      <c r="C1597" s="197" t="s">
        <v>59</v>
      </c>
      <c r="D1597" s="185" t="s">
        <v>129</v>
      </c>
      <c r="E1597" s="402">
        <v>2.44</v>
      </c>
    </row>
    <row r="1598" spans="1:5" ht="15.75" hidden="1">
      <c r="A1598" s="201"/>
      <c r="B1598" s="207"/>
      <c r="C1598" s="193" t="s">
        <v>202</v>
      </c>
      <c r="D1598" s="186"/>
      <c r="E1598" s="420">
        <f>E1597/3.4528</f>
        <v>0.7066728452270621</v>
      </c>
    </row>
    <row r="1599" spans="1:5" ht="18.75" hidden="1">
      <c r="A1599" s="200" t="s">
        <v>65</v>
      </c>
      <c r="B1599" s="208" t="s">
        <v>66</v>
      </c>
      <c r="C1599" s="197" t="s">
        <v>59</v>
      </c>
      <c r="D1599" s="202" t="s">
        <v>189</v>
      </c>
      <c r="E1599" s="426">
        <f>0.41+(7.24*E1562/37.6)</f>
        <v>4.045037389099777</v>
      </c>
    </row>
    <row r="1600" spans="1:5" ht="15.75" hidden="1">
      <c r="A1600" s="201"/>
      <c r="B1600" s="209"/>
      <c r="C1600" s="193" t="s">
        <v>202</v>
      </c>
      <c r="D1600" s="203"/>
      <c r="E1600" s="420">
        <f>E1599/3.4528</f>
        <v>1.1715238036086009</v>
      </c>
    </row>
    <row r="1601" spans="1:5" ht="15" hidden="1">
      <c r="A1601" s="198" t="s">
        <v>67</v>
      </c>
      <c r="B1601" s="199" t="s">
        <v>68</v>
      </c>
      <c r="C1601" s="9"/>
      <c r="D1601" s="44"/>
      <c r="E1601" s="398"/>
    </row>
    <row r="1602" spans="1:5" ht="15" hidden="1">
      <c r="A1602" s="12" t="s">
        <v>69</v>
      </c>
      <c r="B1602" s="17" t="s">
        <v>55</v>
      </c>
      <c r="C1602" s="10" t="s">
        <v>56</v>
      </c>
      <c r="D1602" s="24"/>
      <c r="E1602" s="404">
        <v>16.1</v>
      </c>
    </row>
    <row r="1603" spans="1:5" ht="18.75" hidden="1">
      <c r="A1603" s="12" t="s">
        <v>70</v>
      </c>
      <c r="B1603" s="17" t="s">
        <v>71</v>
      </c>
      <c r="C1603" s="11" t="s">
        <v>59</v>
      </c>
      <c r="D1603" s="77" t="s">
        <v>131</v>
      </c>
      <c r="E1603" s="404">
        <f>E1599</f>
        <v>4.045037389099777</v>
      </c>
    </row>
    <row r="1604" spans="1:5" ht="15" hidden="1">
      <c r="A1604" s="172" t="s">
        <v>72</v>
      </c>
      <c r="B1604" s="562" t="s">
        <v>73</v>
      </c>
      <c r="C1604" s="563"/>
      <c r="D1604" s="563"/>
      <c r="E1604" s="564"/>
    </row>
    <row r="1605" spans="1:5" ht="15" hidden="1">
      <c r="A1605" s="557" t="s">
        <v>79</v>
      </c>
      <c r="B1605" s="18" t="s">
        <v>74</v>
      </c>
      <c r="C1605" s="11" t="s">
        <v>59</v>
      </c>
      <c r="D1605" s="79" t="s">
        <v>106</v>
      </c>
      <c r="E1605" s="412">
        <v>0.31</v>
      </c>
    </row>
    <row r="1606" spans="1:5" ht="15" hidden="1">
      <c r="A1606" s="558"/>
      <c r="B1606" s="19" t="s">
        <v>75</v>
      </c>
      <c r="C1606" s="53" t="s">
        <v>76</v>
      </c>
      <c r="D1606" s="79" t="s">
        <v>106</v>
      </c>
      <c r="E1606" s="412">
        <v>2.34</v>
      </c>
    </row>
    <row r="1607" spans="1:5" ht="15" hidden="1">
      <c r="A1607" s="558"/>
      <c r="B1607" s="19" t="s">
        <v>210</v>
      </c>
      <c r="C1607" s="11" t="s">
        <v>78</v>
      </c>
      <c r="D1607" s="79" t="s">
        <v>106</v>
      </c>
      <c r="E1607" s="412">
        <v>46.34</v>
      </c>
    </row>
    <row r="1608" spans="1:5" ht="15" hidden="1">
      <c r="A1608" s="172" t="s">
        <v>80</v>
      </c>
      <c r="B1608" s="82" t="s">
        <v>81</v>
      </c>
      <c r="C1608" s="269" t="s">
        <v>59</v>
      </c>
      <c r="D1608" s="62"/>
      <c r="E1608" s="412">
        <v>-0.07</v>
      </c>
    </row>
    <row r="1609" spans="1:5" ht="15" hidden="1">
      <c r="A1609" s="172" t="s">
        <v>82</v>
      </c>
      <c r="B1609" s="82" t="s">
        <v>83</v>
      </c>
      <c r="C1609" s="11" t="s">
        <v>59</v>
      </c>
      <c r="D1609" s="62"/>
      <c r="E1609" s="412">
        <v>-0.14</v>
      </c>
    </row>
    <row r="1610" spans="1:5" ht="15" hidden="1">
      <c r="A1610" s="217" t="s">
        <v>84</v>
      </c>
      <c r="B1610" s="212" t="s">
        <v>179</v>
      </c>
      <c r="C1610" s="210" t="s">
        <v>59</v>
      </c>
      <c r="D1610" s="62"/>
      <c r="E1610" s="413">
        <f>18.88+6.49+0.31-0.21</f>
        <v>25.469999999999995</v>
      </c>
    </row>
    <row r="1611" spans="1:5" ht="15" hidden="1">
      <c r="A1611" s="215"/>
      <c r="B1611" s="214"/>
      <c r="C1611" s="193" t="s">
        <v>202</v>
      </c>
      <c r="D1611" s="62"/>
      <c r="E1611" s="427">
        <f>E1610/3.4528</f>
        <v>7.376621872103799</v>
      </c>
    </row>
    <row r="1612" spans="1:5" ht="15" hidden="1">
      <c r="A1612" s="216" t="s">
        <v>85</v>
      </c>
      <c r="B1612" s="82" t="s">
        <v>86</v>
      </c>
      <c r="C1612" s="210" t="s">
        <v>59</v>
      </c>
      <c r="D1612" s="62"/>
      <c r="E1612" s="412">
        <v>0</v>
      </c>
    </row>
    <row r="1613" spans="1:5" ht="15" hidden="1">
      <c r="A1613" s="217" t="s">
        <v>87</v>
      </c>
      <c r="B1613" s="212" t="s">
        <v>88</v>
      </c>
      <c r="C1613" s="211" t="s">
        <v>59</v>
      </c>
      <c r="D1613" s="84"/>
      <c r="E1613" s="413">
        <f>E1610</f>
        <v>25.469999999999995</v>
      </c>
    </row>
    <row r="1614" spans="1:5" ht="15" hidden="1">
      <c r="A1614" s="215"/>
      <c r="B1614" s="214"/>
      <c r="C1614" s="193" t="s">
        <v>202</v>
      </c>
      <c r="D1614" s="84"/>
      <c r="E1614" s="427">
        <f>E1613/3.4528</f>
        <v>7.376621872103799</v>
      </c>
    </row>
    <row r="1615" spans="1:5" ht="15" hidden="1">
      <c r="A1615" s="217" t="s">
        <v>89</v>
      </c>
      <c r="B1615" s="212" t="s">
        <v>90</v>
      </c>
      <c r="C1615" s="211" t="s">
        <v>59</v>
      </c>
      <c r="D1615" s="84"/>
      <c r="E1615" s="414">
        <f>E1613*1.09</f>
        <v>27.762299999999996</v>
      </c>
    </row>
    <row r="1616" spans="1:5" ht="15" hidden="1">
      <c r="A1616" s="218"/>
      <c r="B1616" s="219"/>
      <c r="C1616" s="193" t="s">
        <v>202</v>
      </c>
      <c r="D1616" s="84"/>
      <c r="E1616" s="427">
        <f>E1615/3.4528</f>
        <v>8.040517840593141</v>
      </c>
    </row>
    <row r="1617" spans="1:5" ht="15" hidden="1">
      <c r="A1617" s="217" t="s">
        <v>91</v>
      </c>
      <c r="B1617" s="212" t="s">
        <v>92</v>
      </c>
      <c r="C1617" s="211" t="s">
        <v>59</v>
      </c>
      <c r="D1617" s="84"/>
      <c r="E1617" s="414">
        <f>E1523</f>
        <v>25.88</v>
      </c>
    </row>
    <row r="1618" spans="1:5" ht="15" hidden="1">
      <c r="A1618" s="215"/>
      <c r="B1618" s="214"/>
      <c r="C1618" s="193" t="s">
        <v>202</v>
      </c>
      <c r="D1618" s="84"/>
      <c r="E1618" s="427">
        <f>E1617/3.4528</f>
        <v>7.495366079703429</v>
      </c>
    </row>
    <row r="1619" spans="1:5" ht="15" hidden="1">
      <c r="A1619" s="213" t="s">
        <v>93</v>
      </c>
      <c r="B1619" s="214" t="s">
        <v>94</v>
      </c>
      <c r="C1619" s="81" t="s">
        <v>95</v>
      </c>
      <c r="D1619" s="84"/>
      <c r="E1619" s="414">
        <f>(E1610/E1617)*100-100</f>
        <v>-1.5842349304482326</v>
      </c>
    </row>
    <row r="1620" spans="1:5" ht="15" hidden="1">
      <c r="A1620" s="172" t="s">
        <v>96</v>
      </c>
      <c r="B1620" s="83" t="s">
        <v>97</v>
      </c>
      <c r="C1620" s="85" t="s">
        <v>98</v>
      </c>
      <c r="D1620" s="86"/>
      <c r="E1620" s="419">
        <v>4.986635</v>
      </c>
    </row>
    <row r="1621" spans="1:5" ht="15" hidden="1">
      <c r="A1621" s="172" t="s">
        <v>99</v>
      </c>
      <c r="B1621" s="83" t="s">
        <v>100</v>
      </c>
      <c r="C1621" s="80" t="s">
        <v>98</v>
      </c>
      <c r="D1621" s="62"/>
      <c r="E1621" s="419">
        <v>3.9107655</v>
      </c>
    </row>
    <row r="1622" spans="1:5" ht="15.75" hidden="1" thickBot="1">
      <c r="A1622" s="22" t="s">
        <v>101</v>
      </c>
      <c r="B1622" s="23" t="s">
        <v>102</v>
      </c>
      <c r="C1622" s="173" t="s">
        <v>98</v>
      </c>
      <c r="D1622" s="174"/>
      <c r="E1622" s="416">
        <v>0</v>
      </c>
    </row>
    <row r="1623" ht="15" hidden="1"/>
    <row r="1624" ht="15" hidden="1"/>
    <row r="1625" spans="2:4" ht="15" hidden="1">
      <c r="B1625" s="180"/>
      <c r="C1625" s="181"/>
      <c r="D1625" s="181"/>
    </row>
    <row r="1626" ht="15" hidden="1"/>
    <row r="1627" ht="15" hidden="1"/>
    <row r="1628" ht="15" hidden="1"/>
    <row r="1629" ht="15" hidden="1"/>
    <row r="1630" ht="15" hidden="1"/>
    <row r="1631" spans="2:4" ht="15" hidden="1">
      <c r="B1631" t="s">
        <v>144</v>
      </c>
      <c r="C1631" t="s">
        <v>148</v>
      </c>
      <c r="D1631" s="101" t="s">
        <v>145</v>
      </c>
    </row>
    <row r="1632" ht="15" hidden="1">
      <c r="C1632" s="108" t="s">
        <v>149</v>
      </c>
    </row>
    <row r="1633" ht="15" hidden="1"/>
    <row r="1634" spans="1:5" ht="15" hidden="1">
      <c r="A1634" s="87" t="s">
        <v>0</v>
      </c>
      <c r="B1634" s="87"/>
      <c r="C1634" s="87"/>
      <c r="D1634" s="87"/>
      <c r="E1634" s="334" t="s">
        <v>107</v>
      </c>
    </row>
    <row r="1635" spans="1:5" ht="15" hidden="1">
      <c r="A1635" s="87" t="s">
        <v>1</v>
      </c>
      <c r="B1635" s="87"/>
      <c r="C1635" s="87"/>
      <c r="D1635" s="87" t="s">
        <v>133</v>
      </c>
      <c r="E1635" s="373"/>
    </row>
    <row r="1636" spans="1:5" ht="15" hidden="1">
      <c r="A1636" s="87" t="s">
        <v>2</v>
      </c>
      <c r="B1636" s="87"/>
      <c r="C1636" s="87"/>
      <c r="D1636" s="87" t="s">
        <v>215</v>
      </c>
      <c r="E1636" s="374"/>
    </row>
    <row r="1637" spans="1:5" ht="15" hidden="1">
      <c r="A1637" s="87" t="s">
        <v>3</v>
      </c>
      <c r="B1637" s="87"/>
      <c r="C1637" s="87"/>
      <c r="D1637" s="87" t="s">
        <v>123</v>
      </c>
      <c r="E1637" s="373"/>
    </row>
    <row r="1638" spans="1:5" ht="15" hidden="1">
      <c r="A1638" s="87" t="s">
        <v>4</v>
      </c>
      <c r="B1638" s="87"/>
      <c r="C1638" s="87"/>
      <c r="D1638" s="87" t="s">
        <v>124</v>
      </c>
      <c r="E1638" s="373"/>
    </row>
    <row r="1639" spans="1:5" ht="15" hidden="1">
      <c r="A1639" s="107" t="s">
        <v>147</v>
      </c>
      <c r="B1639" s="87"/>
      <c r="C1639" s="87"/>
      <c r="D1639" s="87"/>
      <c r="E1639" s="373"/>
    </row>
    <row r="1640" spans="1:5" ht="15" hidden="1">
      <c r="A1640" s="107" t="s">
        <v>226</v>
      </c>
      <c r="B1640" s="87"/>
      <c r="C1640" s="87"/>
      <c r="D1640" s="87" t="s">
        <v>227</v>
      </c>
      <c r="E1640" s="373"/>
    </row>
    <row r="1641" spans="1:5" ht="15" hidden="1">
      <c r="A1641" s="1"/>
      <c r="B1641" s="1"/>
      <c r="C1641" s="1"/>
      <c r="D1641" s="1"/>
      <c r="E1641" s="316"/>
    </row>
    <row r="1642" spans="1:4" ht="15.75" hidden="1">
      <c r="A1642" s="96" t="s">
        <v>206</v>
      </c>
      <c r="B1642" s="96" t="s">
        <v>218</v>
      </c>
      <c r="C1642" s="2"/>
      <c r="D1642" s="2"/>
    </row>
    <row r="1643" spans="1:4" ht="15.75" hidden="1">
      <c r="A1643" s="96"/>
      <c r="B1643" s="96"/>
      <c r="C1643" s="179">
        <v>42026</v>
      </c>
      <c r="D1643" s="2"/>
    </row>
    <row r="1644" spans="1:4" ht="15.75" hidden="1">
      <c r="A1644" s="96"/>
      <c r="B1644" s="96"/>
      <c r="C1644" s="106" t="s">
        <v>146</v>
      </c>
      <c r="D1644" s="2"/>
    </row>
    <row r="1645" spans="1:5" ht="15" hidden="1">
      <c r="A1645" s="2" t="s">
        <v>6</v>
      </c>
      <c r="B1645" s="2"/>
      <c r="C1645" s="2"/>
      <c r="D1645" s="2"/>
      <c r="E1645" s="376"/>
    </row>
    <row r="1646" spans="1:5" ht="15" hidden="1">
      <c r="A1646" s="1" t="s">
        <v>174</v>
      </c>
      <c r="B1646" s="1"/>
      <c r="C1646" s="1"/>
      <c r="D1646" s="1"/>
      <c r="E1646" s="316"/>
    </row>
    <row r="1647" spans="1:5" ht="15" hidden="1">
      <c r="A1647" s="1" t="s">
        <v>7</v>
      </c>
      <c r="B1647" s="1"/>
      <c r="C1647" s="1"/>
      <c r="D1647" s="1"/>
      <c r="E1647" s="316"/>
    </row>
    <row r="1648" spans="1:5" ht="15.75" hidden="1" thickBot="1">
      <c r="A1648" s="177" t="s">
        <v>228</v>
      </c>
      <c r="B1648" s="177"/>
      <c r="C1648" s="177"/>
      <c r="D1648" s="177"/>
      <c r="E1648" s="418"/>
    </row>
    <row r="1649" spans="1:5" ht="15" hidden="1">
      <c r="A1649" s="117" t="s">
        <v>8</v>
      </c>
      <c r="B1649" s="118" t="s">
        <v>9</v>
      </c>
      <c r="C1649" s="118" t="s">
        <v>10</v>
      </c>
      <c r="D1649" s="118" t="s">
        <v>11</v>
      </c>
      <c r="E1649" s="397" t="s">
        <v>12</v>
      </c>
    </row>
    <row r="1650" spans="1:5" ht="15.75" hidden="1" thickBot="1">
      <c r="A1650" s="296">
        <v>1</v>
      </c>
      <c r="B1650" s="297">
        <v>2</v>
      </c>
      <c r="C1650" s="297">
        <v>3</v>
      </c>
      <c r="D1650" s="297">
        <v>4</v>
      </c>
      <c r="E1650" s="428">
        <v>5</v>
      </c>
    </row>
    <row r="1651" spans="1:5" ht="15" hidden="1">
      <c r="A1651" s="293" t="s">
        <v>13</v>
      </c>
      <c r="B1651" s="294" t="s">
        <v>14</v>
      </c>
      <c r="C1651" s="295"/>
      <c r="D1651" s="295"/>
      <c r="E1651" s="429"/>
    </row>
    <row r="1652" spans="1:7" ht="17.25" hidden="1">
      <c r="A1652" s="279" t="s">
        <v>15</v>
      </c>
      <c r="B1652" s="231" t="s">
        <v>138</v>
      </c>
      <c r="C1652" s="220" t="s">
        <v>202</v>
      </c>
      <c r="D1652" s="163" t="s">
        <v>134</v>
      </c>
      <c r="E1652" s="400">
        <f>E1654+E1656</f>
        <v>5.511101543264942</v>
      </c>
      <c r="G1652" s="277"/>
    </row>
    <row r="1653" spans="1:5" ht="15.75" hidden="1">
      <c r="A1653" s="280"/>
      <c r="B1653" s="232"/>
      <c r="C1653" s="211" t="s">
        <v>59</v>
      </c>
      <c r="D1653" s="183"/>
      <c r="E1653" s="420">
        <f>E1652*3.4528</f>
        <v>19.02873140858519</v>
      </c>
    </row>
    <row r="1654" spans="1:5" ht="18.75" hidden="1">
      <c r="A1654" s="281" t="s">
        <v>16</v>
      </c>
      <c r="B1654" s="38" t="s">
        <v>18</v>
      </c>
      <c r="C1654" s="220" t="s">
        <v>202</v>
      </c>
      <c r="D1654" s="185" t="s">
        <v>126</v>
      </c>
      <c r="E1654" s="421">
        <v>1.32</v>
      </c>
    </row>
    <row r="1655" spans="1:5" ht="15.75" hidden="1">
      <c r="A1655" s="282"/>
      <c r="B1655" s="233"/>
      <c r="C1655" s="211" t="s">
        <v>59</v>
      </c>
      <c r="D1655" s="187"/>
      <c r="E1655" s="422">
        <f>E1654*3.4528</f>
        <v>4.557696</v>
      </c>
    </row>
    <row r="1656" spans="1:5" ht="33" hidden="1">
      <c r="A1656" s="283" t="s">
        <v>17</v>
      </c>
      <c r="B1656" s="274" t="s">
        <v>19</v>
      </c>
      <c r="C1656" s="220" t="s">
        <v>202</v>
      </c>
      <c r="D1656" s="189" t="s">
        <v>229</v>
      </c>
      <c r="E1656" s="430">
        <f>0.08+((4325*E1662+226*E1670+106.1*E1666+509*E1674)/(44.84*1000))/10</f>
        <v>4.191101543264942</v>
      </c>
    </row>
    <row r="1657" spans="1:5" ht="15" hidden="1">
      <c r="A1657" s="284"/>
      <c r="B1657" s="235"/>
      <c r="C1657" s="211" t="s">
        <v>59</v>
      </c>
      <c r="D1657" s="190"/>
      <c r="E1657" s="431">
        <f>E1656*3.4528</f>
        <v>14.471035408585191</v>
      </c>
    </row>
    <row r="1658" spans="1:5" ht="15" hidden="1">
      <c r="A1658" s="223" t="s">
        <v>21</v>
      </c>
      <c r="B1658" s="224" t="s">
        <v>22</v>
      </c>
      <c r="C1658" s="31"/>
      <c r="D1658" s="188"/>
      <c r="E1658" s="402"/>
    </row>
    <row r="1659" spans="1:5" ht="15" hidden="1">
      <c r="A1659" s="166" t="s">
        <v>23</v>
      </c>
      <c r="B1659" s="48" t="s">
        <v>24</v>
      </c>
      <c r="C1659" s="49"/>
      <c r="D1659" s="49"/>
      <c r="E1659" s="403"/>
    </row>
    <row r="1660" spans="1:5" ht="15" hidden="1">
      <c r="A1660" s="164" t="s">
        <v>25</v>
      </c>
      <c r="B1660" s="24" t="s">
        <v>26</v>
      </c>
      <c r="C1660" s="32" t="s">
        <v>219</v>
      </c>
      <c r="D1660" s="24"/>
      <c r="E1660" s="404">
        <v>289.82</v>
      </c>
    </row>
    <row r="1661" spans="1:5" ht="15" hidden="1">
      <c r="A1661" s="164" t="s">
        <v>27</v>
      </c>
      <c r="B1661" s="24" t="s">
        <v>28</v>
      </c>
      <c r="C1661" s="32" t="s">
        <v>219</v>
      </c>
      <c r="D1661" s="24"/>
      <c r="E1661" s="398">
        <f>10.48+90.72</f>
        <v>101.2</v>
      </c>
    </row>
    <row r="1662" spans="1:5" ht="15" hidden="1">
      <c r="A1662" s="164" t="s">
        <v>29</v>
      </c>
      <c r="B1662" s="38" t="s">
        <v>30</v>
      </c>
      <c r="C1662" s="32" t="s">
        <v>219</v>
      </c>
      <c r="D1662" s="24"/>
      <c r="E1662" s="405">
        <f>E1660+E1661</f>
        <v>391.02</v>
      </c>
    </row>
    <row r="1663" spans="1:5" ht="15" hidden="1">
      <c r="A1663" s="167" t="s">
        <v>31</v>
      </c>
      <c r="B1663" s="41" t="s">
        <v>177</v>
      </c>
      <c r="C1663" s="42"/>
      <c r="D1663" s="42"/>
      <c r="E1663" s="406"/>
    </row>
    <row r="1664" spans="1:5" ht="15" hidden="1">
      <c r="A1664" s="164" t="s">
        <v>35</v>
      </c>
      <c r="B1664" s="24" t="s">
        <v>26</v>
      </c>
      <c r="C1664" s="270" t="s">
        <v>220</v>
      </c>
      <c r="D1664" s="24"/>
      <c r="E1664" s="404"/>
    </row>
    <row r="1665" spans="1:5" ht="15" hidden="1">
      <c r="A1665" s="164" t="s">
        <v>36</v>
      </c>
      <c r="B1665" s="24" t="s">
        <v>28</v>
      </c>
      <c r="C1665" s="40" t="s">
        <v>220</v>
      </c>
      <c r="D1665" s="24"/>
      <c r="E1665" s="404"/>
    </row>
    <row r="1666" spans="1:5" ht="15" hidden="1">
      <c r="A1666" s="164" t="s">
        <v>37</v>
      </c>
      <c r="B1666" s="24" t="s">
        <v>30</v>
      </c>
      <c r="C1666" s="40" t="s">
        <v>220</v>
      </c>
      <c r="D1666" s="24"/>
      <c r="E1666" s="405">
        <v>167.22</v>
      </c>
    </row>
    <row r="1667" spans="1:5" ht="15" hidden="1">
      <c r="A1667" s="167" t="s">
        <v>31</v>
      </c>
      <c r="B1667" s="41" t="s">
        <v>178</v>
      </c>
      <c r="C1667" s="271"/>
      <c r="D1667" s="42"/>
      <c r="E1667" s="406"/>
    </row>
    <row r="1668" spans="1:5" ht="15" hidden="1">
      <c r="A1668" s="164" t="s">
        <v>35</v>
      </c>
      <c r="B1668" s="24" t="s">
        <v>26</v>
      </c>
      <c r="C1668" s="40" t="s">
        <v>220</v>
      </c>
      <c r="D1668" s="24"/>
      <c r="E1668" s="404"/>
    </row>
    <row r="1669" spans="1:5" ht="15" hidden="1">
      <c r="A1669" s="164" t="s">
        <v>36</v>
      </c>
      <c r="B1669" s="24" t="s">
        <v>28</v>
      </c>
      <c r="C1669" s="40" t="s">
        <v>220</v>
      </c>
      <c r="D1669" s="24"/>
      <c r="E1669" s="404"/>
    </row>
    <row r="1670" spans="1:5" ht="15" hidden="1">
      <c r="A1670" s="164" t="s">
        <v>37</v>
      </c>
      <c r="B1670" s="24" t="s">
        <v>30</v>
      </c>
      <c r="C1670" s="40" t="s">
        <v>220</v>
      </c>
      <c r="D1670" s="24"/>
      <c r="E1670" s="405">
        <v>122.93</v>
      </c>
    </row>
    <row r="1671" spans="1:5" ht="15" hidden="1">
      <c r="A1671" s="168" t="s">
        <v>34</v>
      </c>
      <c r="B1671" s="45" t="s">
        <v>103</v>
      </c>
      <c r="C1671" s="46"/>
      <c r="D1671" s="46"/>
      <c r="E1671" s="407"/>
    </row>
    <row r="1672" spans="1:5" ht="15" hidden="1">
      <c r="A1672" s="169" t="s">
        <v>38</v>
      </c>
      <c r="B1672" s="44" t="s">
        <v>26</v>
      </c>
      <c r="C1672" s="40" t="s">
        <v>220</v>
      </c>
      <c r="D1672" s="24"/>
      <c r="E1672" s="404"/>
    </row>
    <row r="1673" spans="1:5" ht="15" hidden="1">
      <c r="A1673" s="169" t="s">
        <v>39</v>
      </c>
      <c r="B1673" s="24" t="s">
        <v>28</v>
      </c>
      <c r="C1673" s="40" t="s">
        <v>220</v>
      </c>
      <c r="D1673" s="24"/>
      <c r="E1673" s="398"/>
    </row>
    <row r="1674" spans="1:5" ht="15" hidden="1">
      <c r="A1674" s="21" t="s">
        <v>40</v>
      </c>
      <c r="B1674" s="38" t="s">
        <v>30</v>
      </c>
      <c r="C1674" s="40" t="s">
        <v>220</v>
      </c>
      <c r="D1674" s="24"/>
      <c r="E1674" s="405">
        <v>209.69</v>
      </c>
    </row>
    <row r="1675" spans="1:5" ht="15" hidden="1">
      <c r="A1675" s="170" t="s">
        <v>42</v>
      </c>
      <c r="B1675" s="51" t="s">
        <v>43</v>
      </c>
      <c r="C1675" s="52"/>
      <c r="D1675" s="52"/>
      <c r="E1675" s="408"/>
    </row>
    <row r="1676" spans="1:5" ht="15" hidden="1">
      <c r="A1676" s="121" t="s">
        <v>44</v>
      </c>
      <c r="B1676" s="24" t="s">
        <v>104</v>
      </c>
      <c r="C1676" s="24"/>
      <c r="D1676" s="24"/>
      <c r="E1676" s="409" t="s">
        <v>106</v>
      </c>
    </row>
    <row r="1677" spans="1:5" ht="15" hidden="1">
      <c r="A1677" s="121" t="s">
        <v>45</v>
      </c>
      <c r="B1677" s="24" t="s">
        <v>105</v>
      </c>
      <c r="C1677" s="220" t="s">
        <v>202</v>
      </c>
      <c r="D1677" s="24"/>
      <c r="E1677" s="398">
        <v>0</v>
      </c>
    </row>
    <row r="1678" spans="1:5" ht="17.25" hidden="1">
      <c r="A1678" s="171" t="s">
        <v>46</v>
      </c>
      <c r="B1678" s="91" t="s">
        <v>127</v>
      </c>
      <c r="C1678" s="220" t="s">
        <v>202</v>
      </c>
      <c r="D1678" s="95" t="s">
        <v>136</v>
      </c>
      <c r="E1678" s="417">
        <f>E1679+E1680</f>
        <v>5.511101543264942</v>
      </c>
    </row>
    <row r="1679" spans="1:5" ht="18.75" hidden="1">
      <c r="A1679" s="121" t="s">
        <v>48</v>
      </c>
      <c r="B1679" s="24" t="s">
        <v>49</v>
      </c>
      <c r="C1679" s="220" t="s">
        <v>202</v>
      </c>
      <c r="D1679" s="77" t="s">
        <v>128</v>
      </c>
      <c r="E1679" s="404">
        <f>E1654</f>
        <v>1.32</v>
      </c>
    </row>
    <row r="1680" spans="1:5" ht="33" hidden="1">
      <c r="A1680" s="165" t="s">
        <v>50</v>
      </c>
      <c r="B1680" s="104" t="s">
        <v>51</v>
      </c>
      <c r="C1680" s="272" t="s">
        <v>202</v>
      </c>
      <c r="D1680" s="54" t="s">
        <v>229</v>
      </c>
      <c r="E1680" s="411">
        <f>E1656</f>
        <v>4.191101543264942</v>
      </c>
    </row>
    <row r="1681" spans="1:5" ht="15" hidden="1">
      <c r="A1681" s="121" t="s">
        <v>52</v>
      </c>
      <c r="B1681" s="55" t="s">
        <v>53</v>
      </c>
      <c r="C1681" s="33"/>
      <c r="D1681" s="33"/>
      <c r="E1681" s="402"/>
    </row>
    <row r="1682" spans="1:5" ht="15" hidden="1">
      <c r="A1682" s="121" t="s">
        <v>54</v>
      </c>
      <c r="B1682" s="24" t="s">
        <v>55</v>
      </c>
      <c r="C1682" s="11" t="s">
        <v>221</v>
      </c>
      <c r="D1682" s="24"/>
      <c r="E1682" s="398">
        <v>9.66</v>
      </c>
    </row>
    <row r="1683" spans="1:7" ht="15" hidden="1">
      <c r="A1683" s="121" t="s">
        <v>57</v>
      </c>
      <c r="B1683" s="24" t="s">
        <v>58</v>
      </c>
      <c r="C1683" s="220" t="s">
        <v>202</v>
      </c>
      <c r="D1683" s="56" t="s">
        <v>47</v>
      </c>
      <c r="E1683" s="404">
        <f>E1680</f>
        <v>4.191101543264942</v>
      </c>
      <c r="G1683" s="276"/>
    </row>
    <row r="1684" spans="1:5" ht="15" hidden="1">
      <c r="A1684" s="162" t="s">
        <v>60</v>
      </c>
      <c r="B1684" s="559" t="s">
        <v>61</v>
      </c>
      <c r="C1684" s="560"/>
      <c r="D1684" s="560"/>
      <c r="E1684" s="561"/>
    </row>
    <row r="1685" spans="1:5" ht="17.25" hidden="1">
      <c r="A1685" s="285" t="s">
        <v>62</v>
      </c>
      <c r="B1685" s="194" t="s">
        <v>137</v>
      </c>
      <c r="C1685" s="220" t="s">
        <v>202</v>
      </c>
      <c r="D1685" s="191" t="s">
        <v>135</v>
      </c>
      <c r="E1685" s="425">
        <f>E1687+E1689</f>
        <v>1.8911801907776113</v>
      </c>
    </row>
    <row r="1686" spans="1:5" ht="15.75" hidden="1">
      <c r="A1686" s="286"/>
      <c r="B1686" s="205"/>
      <c r="C1686" s="211" t="s">
        <v>59</v>
      </c>
      <c r="D1686" s="192"/>
      <c r="E1686" s="420">
        <f>E1685*3.4528</f>
        <v>6.529866962716937</v>
      </c>
    </row>
    <row r="1687" spans="1:5" ht="18.75" hidden="1">
      <c r="A1687" s="287" t="s">
        <v>63</v>
      </c>
      <c r="B1687" s="206" t="s">
        <v>64</v>
      </c>
      <c r="C1687" s="220" t="s">
        <v>202</v>
      </c>
      <c r="D1687" s="185" t="s">
        <v>129</v>
      </c>
      <c r="E1687" s="402">
        <v>0.71</v>
      </c>
    </row>
    <row r="1688" spans="1:5" ht="15.75" hidden="1">
      <c r="A1688" s="288"/>
      <c r="B1688" s="207"/>
      <c r="C1688" s="211" t="s">
        <v>59</v>
      </c>
      <c r="D1688" s="186"/>
      <c r="E1688" s="420">
        <f>E1687*3.4528</f>
        <v>2.451488</v>
      </c>
    </row>
    <row r="1689" spans="1:5" ht="18.75" hidden="1">
      <c r="A1689" s="287" t="s">
        <v>65</v>
      </c>
      <c r="B1689" s="208" t="s">
        <v>66</v>
      </c>
      <c r="C1689" s="220" t="s">
        <v>202</v>
      </c>
      <c r="D1689" s="202" t="s">
        <v>230</v>
      </c>
      <c r="E1689" s="426">
        <f>0.12+(7.24*E1652/37.6)</f>
        <v>1.1811801907776114</v>
      </c>
    </row>
    <row r="1690" spans="1:5" ht="15.75" hidden="1">
      <c r="A1690" s="288"/>
      <c r="B1690" s="209"/>
      <c r="C1690" s="211" t="s">
        <v>59</v>
      </c>
      <c r="D1690" s="203"/>
      <c r="E1690" s="420">
        <f>E1689*3.4528</f>
        <v>4.078378962716936</v>
      </c>
    </row>
    <row r="1691" spans="1:5" ht="15" hidden="1">
      <c r="A1691" s="198" t="s">
        <v>67</v>
      </c>
      <c r="B1691" s="199" t="s">
        <v>68</v>
      </c>
      <c r="C1691" s="9"/>
      <c r="D1691" s="44"/>
      <c r="E1691" s="398"/>
    </row>
    <row r="1692" spans="1:5" ht="15" hidden="1">
      <c r="A1692" s="12" t="s">
        <v>69</v>
      </c>
      <c r="B1692" s="17" t="s">
        <v>55</v>
      </c>
      <c r="C1692" s="278" t="s">
        <v>221</v>
      </c>
      <c r="D1692" s="24"/>
      <c r="E1692" s="404">
        <v>4.66</v>
      </c>
    </row>
    <row r="1693" spans="1:5" ht="18.75" hidden="1">
      <c r="A1693" s="12" t="s">
        <v>70</v>
      </c>
      <c r="B1693" s="17" t="s">
        <v>71</v>
      </c>
      <c r="C1693" s="220" t="s">
        <v>202</v>
      </c>
      <c r="D1693" s="77" t="s">
        <v>131</v>
      </c>
      <c r="E1693" s="404">
        <f>E1689</f>
        <v>1.1811801907776114</v>
      </c>
    </row>
    <row r="1694" spans="1:5" ht="15" hidden="1">
      <c r="A1694" s="172" t="s">
        <v>72</v>
      </c>
      <c r="B1694" s="562" t="s">
        <v>73</v>
      </c>
      <c r="C1694" s="563"/>
      <c r="D1694" s="563"/>
      <c r="E1694" s="564"/>
    </row>
    <row r="1695" spans="1:5" ht="15" hidden="1">
      <c r="A1695" s="557" t="s">
        <v>79</v>
      </c>
      <c r="B1695" s="18" t="s">
        <v>74</v>
      </c>
      <c r="C1695" s="220" t="s">
        <v>202</v>
      </c>
      <c r="D1695" s="79" t="s">
        <v>106</v>
      </c>
      <c r="E1695" s="412">
        <v>0.09</v>
      </c>
    </row>
    <row r="1696" spans="1:5" ht="15" hidden="1">
      <c r="A1696" s="558"/>
      <c r="B1696" s="19" t="s">
        <v>75</v>
      </c>
      <c r="C1696" s="53" t="s">
        <v>222</v>
      </c>
      <c r="D1696" s="79" t="s">
        <v>106</v>
      </c>
      <c r="E1696" s="412">
        <v>0.68</v>
      </c>
    </row>
    <row r="1697" spans="1:5" ht="15" hidden="1">
      <c r="A1697" s="558"/>
      <c r="B1697" s="19" t="s">
        <v>210</v>
      </c>
      <c r="C1697" s="273" t="s">
        <v>223</v>
      </c>
      <c r="D1697" s="79" t="s">
        <v>106</v>
      </c>
      <c r="E1697" s="412">
        <v>13.42</v>
      </c>
    </row>
    <row r="1698" spans="1:5" ht="15" hidden="1">
      <c r="A1698" s="172" t="s">
        <v>80</v>
      </c>
      <c r="B1698" s="82" t="s">
        <v>81</v>
      </c>
      <c r="C1698" s="220" t="s">
        <v>202</v>
      </c>
      <c r="D1698" s="62"/>
      <c r="E1698" s="412">
        <v>-0.02</v>
      </c>
    </row>
    <row r="1699" spans="1:5" ht="15" hidden="1">
      <c r="A1699" s="172" t="s">
        <v>82</v>
      </c>
      <c r="B1699" s="82" t="s">
        <v>83</v>
      </c>
      <c r="C1699" s="220" t="s">
        <v>202</v>
      </c>
      <c r="D1699" s="62"/>
      <c r="E1699" s="412">
        <v>-0.04</v>
      </c>
    </row>
    <row r="1700" spans="1:5" ht="15" hidden="1">
      <c r="A1700" s="289" t="s">
        <v>84</v>
      </c>
      <c r="B1700" s="212" t="s">
        <v>179</v>
      </c>
      <c r="C1700" s="220" t="s">
        <v>202</v>
      </c>
      <c r="D1700" s="62"/>
      <c r="E1700" s="413">
        <f>E1652+E1685+E1695+E1698+E1699</f>
        <v>7.4322817340425535</v>
      </c>
    </row>
    <row r="1701" spans="1:5" ht="15" hidden="1">
      <c r="A1701" s="290"/>
      <c r="B1701" s="214"/>
      <c r="C1701" s="211" t="s">
        <v>59</v>
      </c>
      <c r="D1701" s="62"/>
      <c r="E1701" s="427">
        <f>E1700*3.4528</f>
        <v>25.662182371302126</v>
      </c>
    </row>
    <row r="1702" spans="1:5" ht="15" hidden="1">
      <c r="A1702" s="291" t="s">
        <v>85</v>
      </c>
      <c r="B1702" s="82" t="s">
        <v>86</v>
      </c>
      <c r="C1702" s="210" t="s">
        <v>59</v>
      </c>
      <c r="D1702" s="62"/>
      <c r="E1702" s="412">
        <v>0</v>
      </c>
    </row>
    <row r="1703" spans="1:5" ht="15" hidden="1">
      <c r="A1703" s="289" t="s">
        <v>87</v>
      </c>
      <c r="B1703" s="212" t="s">
        <v>88</v>
      </c>
      <c r="C1703" s="220" t="s">
        <v>202</v>
      </c>
      <c r="D1703" s="84"/>
      <c r="E1703" s="413">
        <f>E1700</f>
        <v>7.4322817340425535</v>
      </c>
    </row>
    <row r="1704" spans="1:5" ht="15" hidden="1">
      <c r="A1704" s="290"/>
      <c r="B1704" s="214"/>
      <c r="C1704" s="211" t="s">
        <v>59</v>
      </c>
      <c r="D1704" s="84"/>
      <c r="E1704" s="427">
        <f>E1703*3.4528</f>
        <v>25.662182371302126</v>
      </c>
    </row>
    <row r="1705" spans="1:5" ht="15" hidden="1">
      <c r="A1705" s="289" t="s">
        <v>89</v>
      </c>
      <c r="B1705" s="212" t="s">
        <v>90</v>
      </c>
      <c r="C1705" s="220" t="s">
        <v>202</v>
      </c>
      <c r="D1705" s="84"/>
      <c r="E1705" s="414">
        <f>E1703*1.09</f>
        <v>8.101187090106384</v>
      </c>
    </row>
    <row r="1706" spans="1:5" ht="15" hidden="1">
      <c r="A1706" s="292"/>
      <c r="B1706" s="219"/>
      <c r="C1706" s="211" t="s">
        <v>59</v>
      </c>
      <c r="D1706" s="84"/>
      <c r="E1706" s="427">
        <f>E1705*3.4528</f>
        <v>27.971778784719323</v>
      </c>
    </row>
    <row r="1707" spans="1:5" ht="15" hidden="1">
      <c r="A1707" s="289" t="s">
        <v>91</v>
      </c>
      <c r="B1707" s="212" t="s">
        <v>92</v>
      </c>
      <c r="C1707" s="220" t="s">
        <v>202</v>
      </c>
      <c r="D1707" s="84"/>
      <c r="E1707" s="414">
        <f>E1614</f>
        <v>7.376621872103799</v>
      </c>
    </row>
    <row r="1708" spans="1:5" ht="15" hidden="1">
      <c r="A1708" s="290"/>
      <c r="B1708" s="214"/>
      <c r="C1708" s="211" t="s">
        <v>59</v>
      </c>
      <c r="D1708" s="84"/>
      <c r="E1708" s="427">
        <f>E1707*3.4528</f>
        <v>25.469999999999995</v>
      </c>
    </row>
    <row r="1709" spans="1:5" ht="15" hidden="1">
      <c r="A1709" s="213" t="s">
        <v>93</v>
      </c>
      <c r="B1709" s="214" t="s">
        <v>94</v>
      </c>
      <c r="C1709" s="81" t="s">
        <v>95</v>
      </c>
      <c r="D1709" s="84"/>
      <c r="E1709" s="414">
        <f>(E1700/E1707)*100-100</f>
        <v>0.7545440569380872</v>
      </c>
    </row>
    <row r="1710" spans="1:5" ht="15" hidden="1">
      <c r="A1710" s="172" t="s">
        <v>96</v>
      </c>
      <c r="B1710" s="83" t="s">
        <v>97</v>
      </c>
      <c r="C1710" s="85" t="s">
        <v>98</v>
      </c>
      <c r="D1710" s="86"/>
      <c r="E1710" s="419">
        <v>6.306586</v>
      </c>
    </row>
    <row r="1711" spans="1:5" ht="15" hidden="1">
      <c r="A1711" s="172" t="s">
        <v>99</v>
      </c>
      <c r="B1711" s="83" t="s">
        <v>100</v>
      </c>
      <c r="C1711" s="80" t="s">
        <v>98</v>
      </c>
      <c r="D1711" s="62"/>
      <c r="E1711" s="419">
        <v>5.914943</v>
      </c>
    </row>
    <row r="1712" spans="1:5" ht="15.75" hidden="1" thickBot="1">
      <c r="A1712" s="22" t="s">
        <v>101</v>
      </c>
      <c r="B1712" s="23" t="s">
        <v>102</v>
      </c>
      <c r="C1712" s="173" t="s">
        <v>98</v>
      </c>
      <c r="D1712" s="174"/>
      <c r="E1712" s="416">
        <v>0</v>
      </c>
    </row>
    <row r="1713" ht="15" hidden="1"/>
    <row r="1714" ht="15" hidden="1"/>
    <row r="1715" ht="15" hidden="1"/>
    <row r="1716" ht="15" hidden="1"/>
    <row r="1717" ht="15" hidden="1"/>
    <row r="1718" spans="2:4" ht="15" hidden="1">
      <c r="B1718" t="s">
        <v>144</v>
      </c>
      <c r="C1718" t="s">
        <v>148</v>
      </c>
      <c r="D1718" s="101" t="s">
        <v>145</v>
      </c>
    </row>
    <row r="1719" ht="15" hidden="1">
      <c r="C1719" s="108" t="s">
        <v>149</v>
      </c>
    </row>
    <row r="1720" ht="7.5" customHeight="1"/>
    <row r="1721" spans="1:5" ht="15" hidden="1">
      <c r="A1721" s="87" t="s">
        <v>0</v>
      </c>
      <c r="B1721" s="87"/>
      <c r="C1721" s="87"/>
      <c r="D1721" s="87"/>
      <c r="E1721" s="334" t="s">
        <v>107</v>
      </c>
    </row>
    <row r="1722" spans="1:5" ht="15" hidden="1">
      <c r="A1722" s="87" t="s">
        <v>1</v>
      </c>
      <c r="B1722" s="87"/>
      <c r="C1722" s="87"/>
      <c r="D1722" s="87" t="s">
        <v>133</v>
      </c>
      <c r="E1722" s="373"/>
    </row>
    <row r="1723" spans="1:5" ht="15" hidden="1">
      <c r="A1723" s="87" t="s">
        <v>2</v>
      </c>
      <c r="B1723" s="87"/>
      <c r="C1723" s="87"/>
      <c r="D1723" s="87" t="s">
        <v>215</v>
      </c>
      <c r="E1723" s="374"/>
    </row>
    <row r="1724" spans="1:5" ht="15" hidden="1">
      <c r="A1724" s="87" t="s">
        <v>3</v>
      </c>
      <c r="B1724" s="87"/>
      <c r="C1724" s="87"/>
      <c r="D1724" s="87" t="s">
        <v>123</v>
      </c>
      <c r="E1724" s="373"/>
    </row>
    <row r="1725" spans="1:5" ht="15" hidden="1">
      <c r="A1725" s="87" t="s">
        <v>4</v>
      </c>
      <c r="B1725" s="87"/>
      <c r="C1725" s="87"/>
      <c r="D1725" s="87" t="s">
        <v>124</v>
      </c>
      <c r="E1725" s="373"/>
    </row>
    <row r="1726" spans="1:5" ht="15" hidden="1">
      <c r="A1726" s="107" t="s">
        <v>147</v>
      </c>
      <c r="B1726" s="87"/>
      <c r="C1726" s="87"/>
      <c r="D1726" s="87"/>
      <c r="E1726" s="373"/>
    </row>
    <row r="1727" spans="1:5" ht="15" hidden="1">
      <c r="A1727" s="107" t="s">
        <v>226</v>
      </c>
      <c r="B1727" s="87"/>
      <c r="C1727" s="87"/>
      <c r="D1727" s="87" t="s">
        <v>227</v>
      </c>
      <c r="E1727" s="373"/>
    </row>
    <row r="1728" spans="1:5" ht="15" hidden="1">
      <c r="A1728" s="1"/>
      <c r="B1728" s="1"/>
      <c r="C1728" s="1"/>
      <c r="D1728" s="1"/>
      <c r="E1728" s="316"/>
    </row>
    <row r="1729" spans="1:4" ht="15.75" hidden="1">
      <c r="A1729" s="96" t="s">
        <v>206</v>
      </c>
      <c r="B1729" s="96" t="s">
        <v>236</v>
      </c>
      <c r="C1729" s="2"/>
      <c r="D1729" s="2"/>
    </row>
    <row r="1730" spans="1:4" ht="15.75" hidden="1">
      <c r="A1730" s="96"/>
      <c r="B1730" s="96"/>
      <c r="C1730" s="179">
        <v>42060</v>
      </c>
      <c r="D1730" s="2"/>
    </row>
    <row r="1731" spans="1:4" ht="15.75" hidden="1">
      <c r="A1731" s="96"/>
      <c r="B1731" s="96"/>
      <c r="C1731" s="106" t="s">
        <v>146</v>
      </c>
      <c r="D1731" s="2"/>
    </row>
    <row r="1732" spans="1:5" ht="15" hidden="1">
      <c r="A1732" s="2" t="s">
        <v>6</v>
      </c>
      <c r="B1732" s="2"/>
      <c r="C1732" s="2"/>
      <c r="D1732" s="2"/>
      <c r="E1732" s="376"/>
    </row>
    <row r="1733" spans="1:5" ht="15" hidden="1">
      <c r="A1733" s="1" t="s">
        <v>174</v>
      </c>
      <c r="B1733" s="1"/>
      <c r="C1733" s="1"/>
      <c r="D1733" s="1"/>
      <c r="E1733" s="316"/>
    </row>
    <row r="1734" spans="1:5" ht="15" hidden="1">
      <c r="A1734" s="1" t="s">
        <v>7</v>
      </c>
      <c r="B1734" s="1"/>
      <c r="C1734" s="1"/>
      <c r="D1734" s="1"/>
      <c r="E1734" s="316"/>
    </row>
    <row r="1735" spans="1:5" ht="15.75" hidden="1" thickBot="1">
      <c r="A1735" s="177" t="s">
        <v>228</v>
      </c>
      <c r="B1735" s="177"/>
      <c r="C1735" s="177"/>
      <c r="D1735" s="177"/>
      <c r="E1735" s="418"/>
    </row>
    <row r="1736" spans="1:5" ht="15" hidden="1">
      <c r="A1736" s="117" t="s">
        <v>8</v>
      </c>
      <c r="B1736" s="118" t="s">
        <v>9</v>
      </c>
      <c r="C1736" s="118" t="s">
        <v>10</v>
      </c>
      <c r="D1736" s="118" t="s">
        <v>11</v>
      </c>
      <c r="E1736" s="397" t="s">
        <v>12</v>
      </c>
    </row>
    <row r="1737" spans="1:5" ht="15.75" hidden="1" thickBot="1">
      <c r="A1737" s="296">
        <v>1</v>
      </c>
      <c r="B1737" s="297">
        <v>2</v>
      </c>
      <c r="C1737" s="297">
        <v>3</v>
      </c>
      <c r="D1737" s="297">
        <v>4</v>
      </c>
      <c r="E1737" s="428">
        <v>5</v>
      </c>
    </row>
    <row r="1738" spans="1:5" ht="15" hidden="1">
      <c r="A1738" s="293" t="s">
        <v>13</v>
      </c>
      <c r="B1738" s="294" t="s">
        <v>14</v>
      </c>
      <c r="C1738" s="295"/>
      <c r="D1738" s="295"/>
      <c r="E1738" s="429"/>
    </row>
    <row r="1739" spans="1:7" ht="17.25" hidden="1">
      <c r="A1739" s="279" t="s">
        <v>15</v>
      </c>
      <c r="B1739" s="231" t="s">
        <v>138</v>
      </c>
      <c r="C1739" s="220" t="s">
        <v>202</v>
      </c>
      <c r="D1739" s="163" t="s">
        <v>134</v>
      </c>
      <c r="E1739" s="400">
        <f>E1741+E1743</f>
        <v>5.8088201851025865</v>
      </c>
      <c r="G1739" s="277"/>
    </row>
    <row r="1740" spans="1:5" ht="15.75" hidden="1">
      <c r="A1740" s="280"/>
      <c r="B1740" s="232"/>
      <c r="C1740" s="211" t="s">
        <v>59</v>
      </c>
      <c r="D1740" s="183"/>
      <c r="E1740" s="432">
        <v>20.07</v>
      </c>
    </row>
    <row r="1741" spans="1:5" ht="18.75" hidden="1">
      <c r="A1741" s="281" t="s">
        <v>16</v>
      </c>
      <c r="B1741" s="38" t="s">
        <v>18</v>
      </c>
      <c r="C1741" s="220" t="s">
        <v>202</v>
      </c>
      <c r="D1741" s="185" t="s">
        <v>126</v>
      </c>
      <c r="E1741" s="421">
        <v>1.32</v>
      </c>
    </row>
    <row r="1742" spans="1:5" ht="15.75" hidden="1">
      <c r="A1742" s="282"/>
      <c r="B1742" s="233"/>
      <c r="C1742" s="211" t="s">
        <v>59</v>
      </c>
      <c r="D1742" s="187"/>
      <c r="E1742" s="422">
        <v>4.57</v>
      </c>
    </row>
    <row r="1743" spans="1:5" ht="33" hidden="1">
      <c r="A1743" s="283" t="s">
        <v>17</v>
      </c>
      <c r="B1743" s="275" t="s">
        <v>239</v>
      </c>
      <c r="C1743" s="220" t="s">
        <v>202</v>
      </c>
      <c r="D1743" s="189" t="s">
        <v>237</v>
      </c>
      <c r="E1743" s="430">
        <f>0.08+((44951*E1749+226*E1757+106.1*E1753+509*E1761)/(44.84*1000))/10</f>
        <v>4.488820185102586</v>
      </c>
    </row>
    <row r="1744" spans="1:5" ht="15" hidden="1">
      <c r="A1744" s="284"/>
      <c r="B1744" s="235"/>
      <c r="C1744" s="211" t="s">
        <v>59</v>
      </c>
      <c r="D1744" s="190"/>
      <c r="E1744" s="431">
        <f>E1743*3.4528</f>
        <v>15.49899833512221</v>
      </c>
    </row>
    <row r="1745" spans="1:5" ht="15" hidden="1">
      <c r="A1745" s="223" t="s">
        <v>21</v>
      </c>
      <c r="B1745" s="224" t="s">
        <v>22</v>
      </c>
      <c r="C1745" s="31"/>
      <c r="D1745" s="188"/>
      <c r="E1745" s="402"/>
    </row>
    <row r="1746" spans="1:5" ht="15" hidden="1">
      <c r="A1746" s="166" t="s">
        <v>23</v>
      </c>
      <c r="B1746" s="48" t="s">
        <v>24</v>
      </c>
      <c r="C1746" s="49"/>
      <c r="D1746" s="49"/>
      <c r="E1746" s="403"/>
    </row>
    <row r="1747" spans="1:5" ht="15" hidden="1">
      <c r="A1747" s="164" t="s">
        <v>25</v>
      </c>
      <c r="B1747" s="24" t="s">
        <v>26</v>
      </c>
      <c r="C1747" s="32" t="s">
        <v>238</v>
      </c>
      <c r="D1747" s="24"/>
      <c r="E1747" s="404">
        <v>27.91</v>
      </c>
    </row>
    <row r="1748" spans="1:5" ht="15" hidden="1">
      <c r="A1748" s="164" t="s">
        <v>27</v>
      </c>
      <c r="B1748" s="24" t="s">
        <v>28</v>
      </c>
      <c r="C1748" s="32" t="s">
        <v>238</v>
      </c>
      <c r="D1748" s="24"/>
      <c r="E1748" s="398">
        <v>12.56</v>
      </c>
    </row>
    <row r="1749" spans="1:5" ht="15" hidden="1">
      <c r="A1749" s="164" t="s">
        <v>29</v>
      </c>
      <c r="B1749" s="38" t="s">
        <v>30</v>
      </c>
      <c r="C1749" s="32" t="s">
        <v>238</v>
      </c>
      <c r="D1749" s="24"/>
      <c r="E1749" s="405">
        <f>E1747+E1748</f>
        <v>40.47</v>
      </c>
    </row>
    <row r="1750" spans="1:5" ht="15" hidden="1">
      <c r="A1750" s="167" t="s">
        <v>31</v>
      </c>
      <c r="B1750" s="41" t="s">
        <v>177</v>
      </c>
      <c r="C1750" s="42"/>
      <c r="D1750" s="42"/>
      <c r="E1750" s="406"/>
    </row>
    <row r="1751" spans="1:5" ht="15" hidden="1">
      <c r="A1751" s="164" t="s">
        <v>35</v>
      </c>
      <c r="B1751" s="24" t="s">
        <v>26</v>
      </c>
      <c r="C1751" s="270" t="s">
        <v>220</v>
      </c>
      <c r="D1751" s="24"/>
      <c r="E1751" s="404"/>
    </row>
    <row r="1752" spans="1:5" ht="15" hidden="1">
      <c r="A1752" s="164" t="s">
        <v>36</v>
      </c>
      <c r="B1752" s="24" t="s">
        <v>28</v>
      </c>
      <c r="C1752" s="40" t="s">
        <v>220</v>
      </c>
      <c r="D1752" s="24"/>
      <c r="E1752" s="404"/>
    </row>
    <row r="1753" spans="1:5" ht="15" hidden="1">
      <c r="A1753" s="164" t="s">
        <v>37</v>
      </c>
      <c r="B1753" s="24" t="s">
        <v>30</v>
      </c>
      <c r="C1753" s="40" t="s">
        <v>220</v>
      </c>
      <c r="D1753" s="24"/>
      <c r="E1753" s="405">
        <v>186.31</v>
      </c>
    </row>
    <row r="1754" spans="1:5" ht="15" hidden="1">
      <c r="A1754" s="167" t="s">
        <v>31</v>
      </c>
      <c r="B1754" s="41" t="s">
        <v>178</v>
      </c>
      <c r="C1754" s="271"/>
      <c r="D1754" s="42"/>
      <c r="E1754" s="406"/>
    </row>
    <row r="1755" spans="1:5" ht="15" hidden="1">
      <c r="A1755" s="164" t="s">
        <v>35</v>
      </c>
      <c r="B1755" s="24" t="s">
        <v>26</v>
      </c>
      <c r="C1755" s="40" t="s">
        <v>220</v>
      </c>
      <c r="D1755" s="24"/>
      <c r="E1755" s="404"/>
    </row>
    <row r="1756" spans="1:5" ht="15" hidden="1">
      <c r="A1756" s="164" t="s">
        <v>36</v>
      </c>
      <c r="B1756" s="24" t="s">
        <v>28</v>
      </c>
      <c r="C1756" s="40" t="s">
        <v>220</v>
      </c>
      <c r="D1756" s="24"/>
      <c r="E1756" s="404"/>
    </row>
    <row r="1757" spans="1:5" ht="15" hidden="1">
      <c r="A1757" s="164" t="s">
        <v>37</v>
      </c>
      <c r="B1757" s="24" t="s">
        <v>30</v>
      </c>
      <c r="C1757" s="40" t="s">
        <v>220</v>
      </c>
      <c r="D1757" s="24"/>
      <c r="E1757" s="405">
        <v>136.42</v>
      </c>
    </row>
    <row r="1758" spans="1:5" ht="15" hidden="1">
      <c r="A1758" s="168" t="s">
        <v>34</v>
      </c>
      <c r="B1758" s="45" t="s">
        <v>103</v>
      </c>
      <c r="C1758" s="46"/>
      <c r="D1758" s="46"/>
      <c r="E1758" s="407"/>
    </row>
    <row r="1759" spans="1:5" ht="15" hidden="1">
      <c r="A1759" s="169" t="s">
        <v>38</v>
      </c>
      <c r="B1759" s="44" t="s">
        <v>26</v>
      </c>
      <c r="C1759" s="40" t="s">
        <v>220</v>
      </c>
      <c r="D1759" s="24"/>
      <c r="E1759" s="404"/>
    </row>
    <row r="1760" spans="1:5" ht="15" hidden="1">
      <c r="A1760" s="169" t="s">
        <v>39</v>
      </c>
      <c r="B1760" s="24" t="s">
        <v>28</v>
      </c>
      <c r="C1760" s="40" t="s">
        <v>220</v>
      </c>
      <c r="D1760" s="24"/>
      <c r="E1760" s="398"/>
    </row>
    <row r="1761" spans="1:5" ht="15" hidden="1">
      <c r="A1761" s="21" t="s">
        <v>40</v>
      </c>
      <c r="B1761" s="38" t="s">
        <v>30</v>
      </c>
      <c r="C1761" s="40" t="s">
        <v>220</v>
      </c>
      <c r="D1761" s="24"/>
      <c r="E1761" s="405">
        <v>210.51</v>
      </c>
    </row>
    <row r="1762" spans="1:5" ht="15" hidden="1">
      <c r="A1762" s="170" t="s">
        <v>42</v>
      </c>
      <c r="B1762" s="51" t="s">
        <v>43</v>
      </c>
      <c r="C1762" s="52"/>
      <c r="D1762" s="52"/>
      <c r="E1762" s="408"/>
    </row>
    <row r="1763" spans="1:5" ht="15" hidden="1">
      <c r="A1763" s="121" t="s">
        <v>44</v>
      </c>
      <c r="B1763" s="24" t="s">
        <v>104</v>
      </c>
      <c r="C1763" s="24"/>
      <c r="D1763" s="24"/>
      <c r="E1763" s="409" t="s">
        <v>106</v>
      </c>
    </row>
    <row r="1764" spans="1:5" ht="15" hidden="1">
      <c r="A1764" s="121" t="s">
        <v>45</v>
      </c>
      <c r="B1764" s="24" t="s">
        <v>105</v>
      </c>
      <c r="C1764" s="220" t="s">
        <v>202</v>
      </c>
      <c r="D1764" s="24"/>
      <c r="E1764" s="398">
        <v>0</v>
      </c>
    </row>
    <row r="1765" spans="1:5" ht="17.25" hidden="1">
      <c r="A1765" s="171" t="s">
        <v>46</v>
      </c>
      <c r="B1765" s="91" t="s">
        <v>127</v>
      </c>
      <c r="C1765" s="220" t="s">
        <v>202</v>
      </c>
      <c r="D1765" s="95" t="s">
        <v>136</v>
      </c>
      <c r="E1765" s="417">
        <f>E1766+E1767</f>
        <v>5.8088201851025865</v>
      </c>
    </row>
    <row r="1766" spans="1:5" ht="18.75" hidden="1">
      <c r="A1766" s="121" t="s">
        <v>48</v>
      </c>
      <c r="B1766" s="24" t="s">
        <v>49</v>
      </c>
      <c r="C1766" s="220" t="s">
        <v>202</v>
      </c>
      <c r="D1766" s="77" t="s">
        <v>128</v>
      </c>
      <c r="E1766" s="404">
        <f>E1741</f>
        <v>1.32</v>
      </c>
    </row>
    <row r="1767" spans="1:5" ht="33" hidden="1">
      <c r="A1767" s="165" t="s">
        <v>50</v>
      </c>
      <c r="B1767" s="104" t="s">
        <v>51</v>
      </c>
      <c r="C1767" s="272" t="s">
        <v>202</v>
      </c>
      <c r="D1767" s="54" t="s">
        <v>229</v>
      </c>
      <c r="E1767" s="411">
        <f>E1743</f>
        <v>4.488820185102586</v>
      </c>
    </row>
    <row r="1768" spans="1:5" ht="15" hidden="1">
      <c r="A1768" s="121" t="s">
        <v>52</v>
      </c>
      <c r="B1768" s="55" t="s">
        <v>53</v>
      </c>
      <c r="C1768" s="33"/>
      <c r="D1768" s="33"/>
      <c r="E1768" s="402"/>
    </row>
    <row r="1769" spans="1:5" ht="15" hidden="1">
      <c r="A1769" s="121" t="s">
        <v>54</v>
      </c>
      <c r="B1769" s="24" t="s">
        <v>55</v>
      </c>
      <c r="C1769" s="11" t="s">
        <v>221</v>
      </c>
      <c r="D1769" s="24"/>
      <c r="E1769" s="398">
        <v>9.66</v>
      </c>
    </row>
    <row r="1770" spans="1:7" ht="15" hidden="1">
      <c r="A1770" s="121" t="s">
        <v>57</v>
      </c>
      <c r="B1770" s="24" t="s">
        <v>58</v>
      </c>
      <c r="C1770" s="220" t="s">
        <v>202</v>
      </c>
      <c r="D1770" s="56" t="s">
        <v>47</v>
      </c>
      <c r="E1770" s="404">
        <f>E1767</f>
        <v>4.488820185102586</v>
      </c>
      <c r="G1770" s="276"/>
    </row>
    <row r="1771" spans="1:5" ht="15" hidden="1">
      <c r="A1771" s="162" t="s">
        <v>60</v>
      </c>
      <c r="B1771" s="559" t="s">
        <v>61</v>
      </c>
      <c r="C1771" s="560"/>
      <c r="D1771" s="560"/>
      <c r="E1771" s="561"/>
    </row>
    <row r="1772" spans="1:5" ht="17.25" hidden="1">
      <c r="A1772" s="285" t="s">
        <v>62</v>
      </c>
      <c r="B1772" s="194" t="s">
        <v>137</v>
      </c>
      <c r="C1772" s="220" t="s">
        <v>202</v>
      </c>
      <c r="D1772" s="191" t="s">
        <v>135</v>
      </c>
      <c r="E1772" s="425">
        <f>E1774+E1776</f>
        <v>1.9485068654293278</v>
      </c>
    </row>
    <row r="1773" spans="1:5" ht="15.75" hidden="1">
      <c r="A1773" s="286"/>
      <c r="B1773" s="205"/>
      <c r="C1773" s="211" t="s">
        <v>59</v>
      </c>
      <c r="D1773" s="192"/>
      <c r="E1773" s="432">
        <f>E1772*3.4528</f>
        <v>6.727804504954383</v>
      </c>
    </row>
    <row r="1774" spans="1:5" ht="18.75" hidden="1">
      <c r="A1774" s="287" t="s">
        <v>63</v>
      </c>
      <c r="B1774" s="206" t="s">
        <v>64</v>
      </c>
      <c r="C1774" s="220" t="s">
        <v>202</v>
      </c>
      <c r="D1774" s="185" t="s">
        <v>129</v>
      </c>
      <c r="E1774" s="402">
        <v>0.71</v>
      </c>
    </row>
    <row r="1775" spans="1:5" ht="15.75" hidden="1">
      <c r="A1775" s="288"/>
      <c r="B1775" s="207"/>
      <c r="C1775" s="211" t="s">
        <v>59</v>
      </c>
      <c r="D1775" s="186"/>
      <c r="E1775" s="432">
        <f>E1774*3.4528</f>
        <v>2.451488</v>
      </c>
    </row>
    <row r="1776" spans="1:5" ht="18.75" hidden="1">
      <c r="A1776" s="287" t="s">
        <v>65</v>
      </c>
      <c r="B1776" s="208" t="s">
        <v>66</v>
      </c>
      <c r="C1776" s="220" t="s">
        <v>202</v>
      </c>
      <c r="D1776" s="202" t="s">
        <v>230</v>
      </c>
      <c r="E1776" s="426">
        <f>0.12+(7.24*E1739/37.6)</f>
        <v>1.2385068654293279</v>
      </c>
    </row>
    <row r="1777" spans="1:5" ht="15.75" hidden="1">
      <c r="A1777" s="288"/>
      <c r="B1777" s="209"/>
      <c r="C1777" s="211" t="s">
        <v>59</v>
      </c>
      <c r="D1777" s="203"/>
      <c r="E1777" s="432">
        <f>E1776*3.4528</f>
        <v>4.276316504954383</v>
      </c>
    </row>
    <row r="1778" spans="1:5" ht="15" hidden="1">
      <c r="A1778" s="198" t="s">
        <v>67</v>
      </c>
      <c r="B1778" s="199" t="s">
        <v>68</v>
      </c>
      <c r="C1778" s="9"/>
      <c r="D1778" s="44"/>
      <c r="E1778" s="398"/>
    </row>
    <row r="1779" spans="1:5" ht="15" hidden="1">
      <c r="A1779" s="12" t="s">
        <v>69</v>
      </c>
      <c r="B1779" s="17" t="s">
        <v>55</v>
      </c>
      <c r="C1779" s="278" t="s">
        <v>221</v>
      </c>
      <c r="D1779" s="24"/>
      <c r="E1779" s="404">
        <v>4.66</v>
      </c>
    </row>
    <row r="1780" spans="1:5" ht="18.75" hidden="1">
      <c r="A1780" s="12" t="s">
        <v>70</v>
      </c>
      <c r="B1780" s="17" t="s">
        <v>71</v>
      </c>
      <c r="C1780" s="220" t="s">
        <v>202</v>
      </c>
      <c r="D1780" s="77" t="s">
        <v>131</v>
      </c>
      <c r="E1780" s="404">
        <f>E1776</f>
        <v>1.2385068654293279</v>
      </c>
    </row>
    <row r="1781" spans="1:5" ht="15" hidden="1">
      <c r="A1781" s="172" t="s">
        <v>72</v>
      </c>
      <c r="B1781" s="562" t="s">
        <v>73</v>
      </c>
      <c r="C1781" s="563"/>
      <c r="D1781" s="563"/>
      <c r="E1781" s="564"/>
    </row>
    <row r="1782" spans="1:5" ht="15" hidden="1">
      <c r="A1782" s="557" t="s">
        <v>79</v>
      </c>
      <c r="B1782" s="18" t="s">
        <v>74</v>
      </c>
      <c r="C1782" s="220" t="s">
        <v>202</v>
      </c>
      <c r="D1782" s="79" t="s">
        <v>106</v>
      </c>
      <c r="E1782" s="412">
        <v>0.09</v>
      </c>
    </row>
    <row r="1783" spans="1:5" ht="15" hidden="1">
      <c r="A1783" s="558"/>
      <c r="B1783" s="19" t="s">
        <v>75</v>
      </c>
      <c r="C1783" s="53" t="s">
        <v>222</v>
      </c>
      <c r="D1783" s="79" t="s">
        <v>106</v>
      </c>
      <c r="E1783" s="412">
        <v>0.68</v>
      </c>
    </row>
    <row r="1784" spans="1:5" ht="15" hidden="1">
      <c r="A1784" s="558"/>
      <c r="B1784" s="19" t="s">
        <v>210</v>
      </c>
      <c r="C1784" s="273" t="s">
        <v>223</v>
      </c>
      <c r="D1784" s="79" t="s">
        <v>106</v>
      </c>
      <c r="E1784" s="412">
        <v>13.42</v>
      </c>
    </row>
    <row r="1785" spans="1:5" ht="15" hidden="1">
      <c r="A1785" s="172" t="s">
        <v>80</v>
      </c>
      <c r="B1785" s="82" t="s">
        <v>81</v>
      </c>
      <c r="C1785" s="220" t="s">
        <v>202</v>
      </c>
      <c r="D1785" s="62"/>
      <c r="E1785" s="412">
        <v>-0.02</v>
      </c>
    </row>
    <row r="1786" spans="1:5" ht="15" hidden="1">
      <c r="A1786" s="172" t="s">
        <v>82</v>
      </c>
      <c r="B1786" s="82" t="s">
        <v>83</v>
      </c>
      <c r="C1786" s="220" t="s">
        <v>202</v>
      </c>
      <c r="D1786" s="62"/>
      <c r="E1786" s="412">
        <v>-0.04</v>
      </c>
    </row>
    <row r="1787" spans="1:5" ht="15" hidden="1">
      <c r="A1787" s="289" t="s">
        <v>84</v>
      </c>
      <c r="B1787" s="212" t="s">
        <v>179</v>
      </c>
      <c r="C1787" s="220" t="s">
        <v>202</v>
      </c>
      <c r="D1787" s="62"/>
      <c r="E1787" s="413">
        <f>E1739+E1772+E1782+E1785+E1786</f>
        <v>7.787327050531915</v>
      </c>
    </row>
    <row r="1788" spans="1:5" ht="15" hidden="1">
      <c r="A1788" s="290"/>
      <c r="B1788" s="214"/>
      <c r="C1788" s="211" t="s">
        <v>59</v>
      </c>
      <c r="D1788" s="62"/>
      <c r="E1788" s="433">
        <v>26.9</v>
      </c>
    </row>
    <row r="1789" spans="1:5" ht="15" hidden="1">
      <c r="A1789" s="291" t="s">
        <v>85</v>
      </c>
      <c r="B1789" s="82" t="s">
        <v>86</v>
      </c>
      <c r="C1789" s="210" t="s">
        <v>59</v>
      </c>
      <c r="D1789" s="62"/>
      <c r="E1789" s="412">
        <v>0</v>
      </c>
    </row>
    <row r="1790" spans="1:5" ht="15" hidden="1">
      <c r="A1790" s="289" t="s">
        <v>87</v>
      </c>
      <c r="B1790" s="212" t="s">
        <v>88</v>
      </c>
      <c r="C1790" s="220" t="s">
        <v>202</v>
      </c>
      <c r="D1790" s="84"/>
      <c r="E1790" s="413">
        <f>E1787</f>
        <v>7.787327050531915</v>
      </c>
    </row>
    <row r="1791" spans="1:5" ht="15" hidden="1">
      <c r="A1791" s="290"/>
      <c r="B1791" s="214"/>
      <c r="C1791" s="211" t="s">
        <v>59</v>
      </c>
      <c r="D1791" s="84"/>
      <c r="E1791" s="433">
        <v>26.9</v>
      </c>
    </row>
    <row r="1792" spans="1:5" ht="15" hidden="1">
      <c r="A1792" s="289" t="s">
        <v>89</v>
      </c>
      <c r="B1792" s="212" t="s">
        <v>90</v>
      </c>
      <c r="C1792" s="220" t="s">
        <v>202</v>
      </c>
      <c r="D1792" s="84"/>
      <c r="E1792" s="414">
        <f>E1790*1.09</f>
        <v>8.488186485079789</v>
      </c>
    </row>
    <row r="1793" spans="1:5" ht="15" hidden="1">
      <c r="A1793" s="292"/>
      <c r="B1793" s="219"/>
      <c r="C1793" s="211" t="s">
        <v>59</v>
      </c>
      <c r="D1793" s="84"/>
      <c r="E1793" s="433">
        <v>29.32</v>
      </c>
    </row>
    <row r="1794" spans="1:5" ht="15" hidden="1">
      <c r="A1794" s="289" t="s">
        <v>91</v>
      </c>
      <c r="B1794" s="212" t="s">
        <v>92</v>
      </c>
      <c r="C1794" s="220" t="s">
        <v>202</v>
      </c>
      <c r="D1794" s="84"/>
      <c r="E1794" s="414">
        <v>7.43</v>
      </c>
    </row>
    <row r="1795" spans="1:5" ht="15" hidden="1">
      <c r="A1795" s="290"/>
      <c r="B1795" s="214"/>
      <c r="C1795" s="211" t="s">
        <v>59</v>
      </c>
      <c r="D1795" s="84"/>
      <c r="E1795" s="433">
        <v>25.66</v>
      </c>
    </row>
    <row r="1796" spans="1:5" ht="15" hidden="1">
      <c r="A1796" s="213" t="s">
        <v>93</v>
      </c>
      <c r="B1796" s="214" t="s">
        <v>94</v>
      </c>
      <c r="C1796" s="81" t="s">
        <v>95</v>
      </c>
      <c r="D1796" s="84"/>
      <c r="E1796" s="414">
        <f>(E1787/E1794)*100-100</f>
        <v>4.809246978895217</v>
      </c>
    </row>
    <row r="1797" spans="1:5" ht="15" hidden="1">
      <c r="A1797" s="172" t="s">
        <v>96</v>
      </c>
      <c r="B1797" s="83" t="s">
        <v>97</v>
      </c>
      <c r="C1797" s="85" t="s">
        <v>98</v>
      </c>
      <c r="D1797" s="86"/>
      <c r="E1797" s="419">
        <v>6.385858</v>
      </c>
    </row>
    <row r="1798" spans="1:5" ht="15" hidden="1">
      <c r="A1798" s="172" t="s">
        <v>99</v>
      </c>
      <c r="B1798" s="83" t="s">
        <v>100</v>
      </c>
      <c r="C1798" s="80" t="s">
        <v>98</v>
      </c>
      <c r="D1798" s="62"/>
      <c r="E1798" s="419">
        <v>5.630957</v>
      </c>
    </row>
    <row r="1799" spans="1:5" ht="15.75" hidden="1" thickBot="1">
      <c r="A1799" s="22" t="s">
        <v>101</v>
      </c>
      <c r="B1799" s="23" t="s">
        <v>102</v>
      </c>
      <c r="C1799" s="173" t="s">
        <v>98</v>
      </c>
      <c r="D1799" s="174"/>
      <c r="E1799" s="416">
        <v>0</v>
      </c>
    </row>
    <row r="1800" ht="15" hidden="1"/>
    <row r="1801" ht="15" hidden="1"/>
    <row r="1802" ht="15" hidden="1"/>
    <row r="1803" ht="15" hidden="1"/>
    <row r="1804" ht="15" hidden="1"/>
    <row r="1805" spans="2:4" ht="15" hidden="1">
      <c r="B1805" t="s">
        <v>144</v>
      </c>
      <c r="C1805" t="s">
        <v>148</v>
      </c>
      <c r="D1805" s="101" t="s">
        <v>145</v>
      </c>
    </row>
    <row r="1806" ht="15" hidden="1">
      <c r="C1806" s="108" t="s">
        <v>149</v>
      </c>
    </row>
    <row r="1807" ht="15" hidden="1"/>
    <row r="1808" spans="4:7" s="316" customFormat="1" ht="12.75" customHeight="1" hidden="1">
      <c r="D1808" s="446" t="s">
        <v>242</v>
      </c>
      <c r="E1808" s="446"/>
      <c r="F1808" s="340"/>
      <c r="G1808" s="317"/>
    </row>
    <row r="1809" spans="4:7" s="316" customFormat="1" ht="12.75" customHeight="1" hidden="1">
      <c r="D1809" s="550" t="s">
        <v>243</v>
      </c>
      <c r="E1809" s="550"/>
      <c r="F1809" s="333"/>
      <c r="G1809" s="317"/>
    </row>
    <row r="1810" spans="4:7" s="316" customFormat="1" ht="12.75" customHeight="1" hidden="1">
      <c r="D1810" s="550" t="s">
        <v>244</v>
      </c>
      <c r="E1810" s="550"/>
      <c r="F1810" s="333"/>
      <c r="G1810" s="317"/>
    </row>
    <row r="1811" spans="4:6" s="316" customFormat="1" ht="12.75" customHeight="1" hidden="1">
      <c r="D1811" s="447" t="s">
        <v>253</v>
      </c>
      <c r="E1811" s="374"/>
      <c r="F1811" s="334"/>
    </row>
    <row r="1812" s="316" customFormat="1" ht="6.75" customHeight="1" hidden="1"/>
    <row r="1813" spans="1:6" s="316" customFormat="1" ht="13.5" customHeight="1" hidden="1">
      <c r="A1813" s="335"/>
      <c r="B1813" s="319" t="s">
        <v>245</v>
      </c>
      <c r="C1813" s="318"/>
      <c r="D1813" s="319" t="s">
        <v>246</v>
      </c>
      <c r="E1813" s="338"/>
      <c r="F1813" s="338"/>
    </row>
    <row r="1814" spans="1:6" s="316" customFormat="1" ht="13.5" customHeight="1" hidden="1">
      <c r="A1814" s="335"/>
      <c r="B1814" s="318" t="s">
        <v>247</v>
      </c>
      <c r="C1814" s="318"/>
      <c r="D1814" s="319" t="s">
        <v>248</v>
      </c>
      <c r="E1814" s="338"/>
      <c r="F1814" s="338"/>
    </row>
    <row r="1815" spans="1:6" s="316" customFormat="1" ht="13.5" customHeight="1" hidden="1">
      <c r="A1815" s="335"/>
      <c r="B1815" s="319" t="s">
        <v>289</v>
      </c>
      <c r="C1815" s="320"/>
      <c r="D1815" s="319" t="s">
        <v>249</v>
      </c>
      <c r="E1815" s="338"/>
      <c r="F1815" s="338"/>
    </row>
    <row r="1816" spans="1:6" s="316" customFormat="1" ht="13.5" customHeight="1" hidden="1">
      <c r="A1816" s="335"/>
      <c r="B1816" s="319" t="s">
        <v>290</v>
      </c>
      <c r="C1816" s="318"/>
      <c r="D1816" s="319" t="s">
        <v>295</v>
      </c>
      <c r="E1816" s="338"/>
      <c r="F1816" s="338"/>
    </row>
    <row r="1817" spans="1:6" s="316" customFormat="1" ht="13.5" customHeight="1" hidden="1">
      <c r="A1817" s="335"/>
      <c r="B1817" s="319" t="s">
        <v>291</v>
      </c>
      <c r="C1817" s="318"/>
      <c r="D1817" s="319" t="s">
        <v>292</v>
      </c>
      <c r="E1817" s="338"/>
      <c r="F1817" s="338"/>
    </row>
    <row r="1818" spans="1:6" s="316" customFormat="1" ht="13.5" customHeight="1" hidden="1">
      <c r="A1818" s="335"/>
      <c r="B1818" s="319" t="s">
        <v>292</v>
      </c>
      <c r="C1818" s="318"/>
      <c r="D1818" s="319" t="s">
        <v>296</v>
      </c>
      <c r="E1818" s="339"/>
      <c r="F1818" s="339"/>
    </row>
    <row r="1819" spans="1:6" s="316" customFormat="1" ht="13.5" customHeight="1" hidden="1">
      <c r="A1819" s="335"/>
      <c r="B1819" s="319" t="s">
        <v>293</v>
      </c>
      <c r="C1819" s="321"/>
      <c r="D1819" s="319"/>
      <c r="E1819" s="338"/>
      <c r="F1819" s="338"/>
    </row>
    <row r="1820" spans="1:6" s="316" customFormat="1" ht="13.5" customHeight="1" hidden="1">
      <c r="A1820" s="335"/>
      <c r="B1820" s="319" t="s">
        <v>294</v>
      </c>
      <c r="C1820" s="321"/>
      <c r="D1820" s="319"/>
      <c r="E1820" s="338"/>
      <c r="F1820" s="338"/>
    </row>
    <row r="1821" spans="1:5" ht="15" hidden="1">
      <c r="A1821" s="107"/>
      <c r="B1821" s="87"/>
      <c r="C1821" s="87"/>
      <c r="D1821" s="87"/>
      <c r="E1821" s="373"/>
    </row>
    <row r="1822" spans="1:4" ht="15.75" hidden="1">
      <c r="A1822" s="96" t="s">
        <v>206</v>
      </c>
      <c r="B1822" s="96" t="s">
        <v>251</v>
      </c>
      <c r="C1822" s="2"/>
      <c r="D1822" s="2"/>
    </row>
    <row r="1823" spans="1:4" ht="15.75" hidden="1">
      <c r="A1823" s="96"/>
      <c r="B1823" s="96"/>
      <c r="C1823" s="483" t="s">
        <v>252</v>
      </c>
      <c r="D1823" s="2"/>
    </row>
    <row r="1824" spans="1:4" ht="12" customHeight="1" hidden="1">
      <c r="A1824" s="96"/>
      <c r="B1824" s="96"/>
      <c r="C1824" s="359" t="s">
        <v>146</v>
      </c>
      <c r="D1824" s="2"/>
    </row>
    <row r="1825" spans="1:4" ht="6.75" customHeight="1" hidden="1">
      <c r="A1825" s="96"/>
      <c r="B1825" s="96"/>
      <c r="C1825" s="359"/>
      <c r="D1825" s="2"/>
    </row>
    <row r="1826" spans="1:5" ht="15" hidden="1">
      <c r="A1826" s="337" t="s">
        <v>6</v>
      </c>
      <c r="B1826" s="2"/>
      <c r="C1826" s="2"/>
      <c r="D1826" s="2"/>
      <c r="E1826" s="376"/>
    </row>
    <row r="1827" spans="1:5" ht="15" hidden="1">
      <c r="A1827" s="336" t="s">
        <v>250</v>
      </c>
      <c r="B1827" s="1"/>
      <c r="C1827" s="1"/>
      <c r="D1827" s="1"/>
      <c r="E1827" s="316"/>
    </row>
    <row r="1828" spans="1:5" ht="14.25" customHeight="1" hidden="1">
      <c r="A1828" s="336"/>
      <c r="B1828" s="1"/>
      <c r="C1828" s="1"/>
      <c r="D1828" s="1"/>
      <c r="E1828" s="316"/>
    </row>
    <row r="1829" spans="1:5" ht="15" hidden="1">
      <c r="A1829" s="87" t="s">
        <v>7</v>
      </c>
      <c r="B1829" s="1"/>
      <c r="C1829" s="1"/>
      <c r="D1829" s="1"/>
      <c r="E1829" s="316"/>
    </row>
    <row r="1830" spans="1:5" ht="33" customHeight="1" hidden="1">
      <c r="A1830" s="551" t="s">
        <v>315</v>
      </c>
      <c r="B1830" s="551"/>
      <c r="C1830" s="551"/>
      <c r="D1830" s="551"/>
      <c r="E1830" s="551"/>
    </row>
    <row r="1831" spans="1:5" ht="15" hidden="1">
      <c r="A1831" s="323" t="s">
        <v>8</v>
      </c>
      <c r="B1831" s="323" t="s">
        <v>9</v>
      </c>
      <c r="C1831" s="323" t="s">
        <v>10</v>
      </c>
      <c r="D1831" s="323" t="s">
        <v>11</v>
      </c>
      <c r="E1831" s="323" t="s">
        <v>12</v>
      </c>
    </row>
    <row r="1832" spans="1:5" ht="12" customHeight="1" hidden="1">
      <c r="A1832" s="25">
        <v>1</v>
      </c>
      <c r="B1832" s="25">
        <v>2</v>
      </c>
      <c r="C1832" s="25">
        <v>3</v>
      </c>
      <c r="D1832" s="25">
        <v>4</v>
      </c>
      <c r="E1832" s="377">
        <v>5</v>
      </c>
    </row>
    <row r="1833" spans="1:5" ht="15" customHeight="1" hidden="1">
      <c r="A1833" s="341" t="s">
        <v>13</v>
      </c>
      <c r="B1833" s="322" t="s">
        <v>254</v>
      </c>
      <c r="C1833" s="295"/>
      <c r="D1833" s="295"/>
      <c r="E1833" s="434"/>
    </row>
    <row r="1834" spans="1:7" ht="22.5" customHeight="1" hidden="1">
      <c r="A1834" s="451" t="s">
        <v>15</v>
      </c>
      <c r="B1834" s="450" t="s">
        <v>257</v>
      </c>
      <c r="C1834" s="362" t="s">
        <v>202</v>
      </c>
      <c r="D1834" s="452" t="s">
        <v>259</v>
      </c>
      <c r="E1834" s="488">
        <f>E1835+E1836</f>
        <v>5.665953209188225</v>
      </c>
      <c r="G1834" s="277"/>
    </row>
    <row r="1835" spans="1:5" ht="18" customHeight="1" hidden="1">
      <c r="A1835" s="453" t="s">
        <v>16</v>
      </c>
      <c r="B1835" s="449" t="s">
        <v>256</v>
      </c>
      <c r="C1835" s="362" t="s">
        <v>202</v>
      </c>
      <c r="D1835" s="454" t="s">
        <v>260</v>
      </c>
      <c r="E1835" s="489">
        <v>1.32</v>
      </c>
    </row>
    <row r="1836" spans="1:5" ht="17.25" customHeight="1" hidden="1">
      <c r="A1836" s="552" t="s">
        <v>17</v>
      </c>
      <c r="B1836" s="449" t="s">
        <v>255</v>
      </c>
      <c r="C1836" s="362" t="s">
        <v>202</v>
      </c>
      <c r="D1836" s="485" t="s">
        <v>319</v>
      </c>
      <c r="E1836" s="490">
        <f>0.08+((44951*E1842+226*E1850+106.1*E1846+509*E1854)/(44.84*1000))/10</f>
        <v>4.345953209188225</v>
      </c>
    </row>
    <row r="1837" spans="1:5" ht="27.75" customHeight="1" hidden="1">
      <c r="A1837" s="552"/>
      <c r="B1837" s="363" t="s">
        <v>255</v>
      </c>
      <c r="C1837" s="494" t="s">
        <v>320</v>
      </c>
      <c r="D1837" s="364" t="s">
        <v>322</v>
      </c>
      <c r="E1837" s="435"/>
    </row>
    <row r="1838" spans="1:5" ht="15" customHeight="1" hidden="1">
      <c r="A1838" s="342" t="s">
        <v>21</v>
      </c>
      <c r="B1838" s="188" t="s">
        <v>261</v>
      </c>
      <c r="C1838" s="31"/>
      <c r="D1838" s="188"/>
      <c r="E1838" s="383"/>
    </row>
    <row r="1839" spans="1:5" ht="15" customHeight="1" hidden="1">
      <c r="A1839" s="47" t="s">
        <v>23</v>
      </c>
      <c r="B1839" s="360" t="s">
        <v>24</v>
      </c>
      <c r="C1839" s="49"/>
      <c r="D1839" s="49"/>
      <c r="E1839" s="384"/>
    </row>
    <row r="1840" spans="1:5" ht="15" customHeight="1" hidden="1">
      <c r="A1840" s="25" t="s">
        <v>25</v>
      </c>
      <c r="B1840" s="24" t="s">
        <v>26</v>
      </c>
      <c r="C1840" s="482" t="s">
        <v>238</v>
      </c>
      <c r="D1840" s="24"/>
      <c r="E1840" s="436">
        <v>26.54</v>
      </c>
    </row>
    <row r="1841" spans="1:5" ht="15" customHeight="1" hidden="1">
      <c r="A1841" s="25" t="s">
        <v>27</v>
      </c>
      <c r="B1841" s="24" t="s">
        <v>28</v>
      </c>
      <c r="C1841" s="470" t="s">
        <v>238</v>
      </c>
      <c r="D1841" s="24"/>
      <c r="E1841" s="437">
        <v>12.56</v>
      </c>
    </row>
    <row r="1842" spans="1:5" ht="15" customHeight="1" hidden="1">
      <c r="A1842" s="25" t="s">
        <v>29</v>
      </c>
      <c r="B1842" s="38" t="s">
        <v>30</v>
      </c>
      <c r="C1842" s="470" t="s">
        <v>238</v>
      </c>
      <c r="D1842" s="24"/>
      <c r="E1842" s="438">
        <f>E1840+E1841</f>
        <v>39.1</v>
      </c>
    </row>
    <row r="1843" spans="1:5" ht="15" customHeight="1" hidden="1">
      <c r="A1843" s="36" t="s">
        <v>31</v>
      </c>
      <c r="B1843" s="41" t="s">
        <v>177</v>
      </c>
      <c r="C1843" s="42"/>
      <c r="D1843" s="42"/>
      <c r="E1843" s="385"/>
    </row>
    <row r="1844" spans="1:5" ht="15" customHeight="1" hidden="1">
      <c r="A1844" s="25" t="s">
        <v>35</v>
      </c>
      <c r="B1844" s="24" t="s">
        <v>26</v>
      </c>
      <c r="C1844" s="471" t="s">
        <v>309</v>
      </c>
      <c r="D1844" s="24"/>
      <c r="E1844" s="386"/>
    </row>
    <row r="1845" spans="1:5" ht="15" customHeight="1" hidden="1">
      <c r="A1845" s="25" t="s">
        <v>36</v>
      </c>
      <c r="B1845" s="24" t="s">
        <v>28</v>
      </c>
      <c r="C1845" s="472" t="s">
        <v>309</v>
      </c>
      <c r="D1845" s="24"/>
      <c r="E1845" s="386"/>
    </row>
    <row r="1846" spans="1:5" ht="15" customHeight="1" hidden="1">
      <c r="A1846" s="25" t="s">
        <v>37</v>
      </c>
      <c r="B1846" s="24" t="s">
        <v>30</v>
      </c>
      <c r="C1846" s="472" t="s">
        <v>309</v>
      </c>
      <c r="D1846" s="24"/>
      <c r="E1846" s="438">
        <v>175.09</v>
      </c>
    </row>
    <row r="1847" spans="1:5" ht="15" customHeight="1" hidden="1">
      <c r="A1847" s="36" t="s">
        <v>34</v>
      </c>
      <c r="B1847" s="41" t="s">
        <v>178</v>
      </c>
      <c r="C1847" s="271"/>
      <c r="D1847" s="42"/>
      <c r="E1847" s="385"/>
    </row>
    <row r="1848" spans="1:5" ht="15" customHeight="1" hidden="1">
      <c r="A1848" s="25" t="s">
        <v>38</v>
      </c>
      <c r="B1848" s="24" t="s">
        <v>26</v>
      </c>
      <c r="C1848" s="472" t="s">
        <v>309</v>
      </c>
      <c r="D1848" s="24"/>
      <c r="E1848" s="386"/>
    </row>
    <row r="1849" spans="1:5" ht="15" customHeight="1" hidden="1">
      <c r="A1849" s="25" t="s">
        <v>39</v>
      </c>
      <c r="B1849" s="24" t="s">
        <v>28</v>
      </c>
      <c r="C1849" s="472" t="s">
        <v>309</v>
      </c>
      <c r="D1849" s="24"/>
      <c r="E1849" s="386"/>
    </row>
    <row r="1850" spans="1:5" ht="15" customHeight="1" hidden="1">
      <c r="A1850" s="25" t="s">
        <v>40</v>
      </c>
      <c r="B1850" s="24" t="s">
        <v>30</v>
      </c>
      <c r="C1850" s="472" t="s">
        <v>309</v>
      </c>
      <c r="D1850" s="24"/>
      <c r="E1850" s="438">
        <v>135.99</v>
      </c>
    </row>
    <row r="1851" spans="1:5" ht="15" customHeight="1" hidden="1">
      <c r="A1851" s="37" t="s">
        <v>262</v>
      </c>
      <c r="B1851" s="45" t="s">
        <v>103</v>
      </c>
      <c r="C1851" s="46"/>
      <c r="D1851" s="46"/>
      <c r="E1851" s="387"/>
    </row>
    <row r="1852" spans="1:5" ht="15" customHeight="1" hidden="1">
      <c r="A1852" s="29" t="s">
        <v>263</v>
      </c>
      <c r="B1852" s="44" t="s">
        <v>26</v>
      </c>
      <c r="C1852" s="472" t="s">
        <v>309</v>
      </c>
      <c r="D1852" s="24"/>
      <c r="E1852" s="386"/>
    </row>
    <row r="1853" spans="1:5" ht="15" customHeight="1" hidden="1">
      <c r="A1853" s="29" t="s">
        <v>264</v>
      </c>
      <c r="B1853" s="24" t="s">
        <v>28</v>
      </c>
      <c r="C1853" s="472" t="s">
        <v>309</v>
      </c>
      <c r="D1853" s="24"/>
      <c r="E1853" s="378"/>
    </row>
    <row r="1854" spans="1:5" ht="15" customHeight="1" hidden="1">
      <c r="A1854" s="343" t="s">
        <v>265</v>
      </c>
      <c r="B1854" s="38" t="s">
        <v>30</v>
      </c>
      <c r="C1854" s="472" t="s">
        <v>309</v>
      </c>
      <c r="D1854" s="24"/>
      <c r="E1854" s="438">
        <v>208.17</v>
      </c>
    </row>
    <row r="1855" spans="1:5" ht="15" customHeight="1" hidden="1">
      <c r="A1855" s="344" t="s">
        <v>42</v>
      </c>
      <c r="B1855" s="325" t="s">
        <v>266</v>
      </c>
      <c r="C1855" s="52"/>
      <c r="D1855" s="52"/>
      <c r="E1855" s="388"/>
    </row>
    <row r="1856" spans="1:5" ht="15" customHeight="1" hidden="1">
      <c r="A1856" s="25" t="s">
        <v>44</v>
      </c>
      <c r="B1856" s="24" t="s">
        <v>267</v>
      </c>
      <c r="C1856" s="24"/>
      <c r="D1856" s="24"/>
      <c r="E1856" s="377" t="s">
        <v>106</v>
      </c>
    </row>
    <row r="1857" spans="1:5" ht="15" customHeight="1" hidden="1">
      <c r="A1857" s="25" t="s">
        <v>45</v>
      </c>
      <c r="B1857" s="24" t="s">
        <v>268</v>
      </c>
      <c r="C1857" s="362" t="s">
        <v>202</v>
      </c>
      <c r="D1857" s="24"/>
      <c r="E1857" s="378">
        <v>0</v>
      </c>
    </row>
    <row r="1858" spans="1:5" ht="24" customHeight="1" hidden="1">
      <c r="A1858" s="345" t="s">
        <v>46</v>
      </c>
      <c r="B1858" s="357" t="s">
        <v>269</v>
      </c>
      <c r="C1858" s="362" t="s">
        <v>202</v>
      </c>
      <c r="D1858" s="349" t="s">
        <v>297</v>
      </c>
      <c r="E1858" s="491">
        <f>E1859+E1860</f>
        <v>5.665953209188225</v>
      </c>
    </row>
    <row r="1859" spans="1:5" ht="17.25" customHeight="1" hidden="1">
      <c r="A1859" s="25" t="s">
        <v>48</v>
      </c>
      <c r="B1859" s="24" t="s">
        <v>49</v>
      </c>
      <c r="C1859" s="362" t="s">
        <v>202</v>
      </c>
      <c r="D1859" s="350" t="s">
        <v>298</v>
      </c>
      <c r="E1859" s="386">
        <f>E1835</f>
        <v>1.32</v>
      </c>
    </row>
    <row r="1860" spans="1:5" ht="18" customHeight="1" hidden="1">
      <c r="A1860" s="553" t="s">
        <v>50</v>
      </c>
      <c r="B1860" s="326" t="s">
        <v>51</v>
      </c>
      <c r="C1860" s="365" t="s">
        <v>202</v>
      </c>
      <c r="D1860" s="350" t="s">
        <v>299</v>
      </c>
      <c r="E1860" s="390">
        <f>E1836</f>
        <v>4.345953209188225</v>
      </c>
    </row>
    <row r="1861" spans="1:5" ht="27" customHeight="1" hidden="1">
      <c r="A1861" s="554"/>
      <c r="B1861" s="363" t="s">
        <v>51</v>
      </c>
      <c r="C1861" s="366" t="s">
        <v>320</v>
      </c>
      <c r="D1861" s="364" t="s">
        <v>322</v>
      </c>
      <c r="E1861" s="439"/>
    </row>
    <row r="1862" spans="1:5" ht="15" customHeight="1" hidden="1">
      <c r="A1862" s="25" t="s">
        <v>52</v>
      </c>
      <c r="B1862" s="346" t="s">
        <v>270</v>
      </c>
      <c r="C1862" s="33"/>
      <c r="D1862" s="33"/>
      <c r="E1862" s="383"/>
    </row>
    <row r="1863" spans="1:5" ht="15" customHeight="1" hidden="1">
      <c r="A1863" s="25" t="s">
        <v>54</v>
      </c>
      <c r="B1863" s="24" t="s">
        <v>271</v>
      </c>
      <c r="C1863" s="11" t="s">
        <v>272</v>
      </c>
      <c r="D1863" s="351" t="s">
        <v>300</v>
      </c>
      <c r="E1863" s="378">
        <v>9.66</v>
      </c>
    </row>
    <row r="1864" spans="1:7" ht="15" customHeight="1" hidden="1">
      <c r="A1864" s="25" t="s">
        <v>57</v>
      </c>
      <c r="B1864" s="24" t="s">
        <v>58</v>
      </c>
      <c r="C1864" s="362" t="s">
        <v>202</v>
      </c>
      <c r="D1864" s="352" t="s">
        <v>299</v>
      </c>
      <c r="E1864" s="386">
        <f>E1860</f>
        <v>4.345953209188225</v>
      </c>
      <c r="G1864" s="276"/>
    </row>
    <row r="1865" spans="1:5" ht="15" customHeight="1" hidden="1">
      <c r="A1865" s="34" t="s">
        <v>60</v>
      </c>
      <c r="B1865" s="358" t="s">
        <v>61</v>
      </c>
      <c r="C1865" s="356"/>
      <c r="D1865" s="356"/>
      <c r="E1865" s="440"/>
    </row>
    <row r="1866" spans="1:5" ht="17.25" customHeight="1" hidden="1">
      <c r="A1866" s="456" t="s">
        <v>62</v>
      </c>
      <c r="B1866" s="455" t="s">
        <v>273</v>
      </c>
      <c r="C1866" s="362" t="s">
        <v>202</v>
      </c>
      <c r="D1866" s="454" t="s">
        <v>301</v>
      </c>
      <c r="E1866" s="492">
        <f>E1867+E1868</f>
        <v>1.9209973732585839</v>
      </c>
    </row>
    <row r="1867" spans="1:5" ht="17.25" customHeight="1" hidden="1">
      <c r="A1867" s="27" t="s">
        <v>63</v>
      </c>
      <c r="B1867" s="496" t="s">
        <v>64</v>
      </c>
      <c r="C1867" s="362" t="s">
        <v>202</v>
      </c>
      <c r="D1867" s="454" t="s">
        <v>302</v>
      </c>
      <c r="E1867" s="383">
        <v>0.71</v>
      </c>
    </row>
    <row r="1868" spans="1:5" ht="18.75" customHeight="1" hidden="1">
      <c r="A1868" s="555" t="s">
        <v>65</v>
      </c>
      <c r="B1868" s="457" t="s">
        <v>66</v>
      </c>
      <c r="C1868" s="362" t="s">
        <v>202</v>
      </c>
      <c r="D1868" s="484" t="s">
        <v>318</v>
      </c>
      <c r="E1868" s="368">
        <f>0.12+(7.24*E1834/37.6)</f>
        <v>1.210997373258584</v>
      </c>
    </row>
    <row r="1869" spans="1:5" ht="15.75" customHeight="1" hidden="1">
      <c r="A1869" s="556"/>
      <c r="B1869" s="473" t="s">
        <v>66</v>
      </c>
      <c r="C1869" s="367" t="s">
        <v>258</v>
      </c>
      <c r="D1869" s="495" t="s">
        <v>323</v>
      </c>
      <c r="E1869" s="441"/>
    </row>
    <row r="1870" spans="1:5" ht="15" customHeight="1" hidden="1">
      <c r="A1870" s="324" t="s">
        <v>67</v>
      </c>
      <c r="B1870" s="327" t="s">
        <v>274</v>
      </c>
      <c r="C1870" s="9"/>
      <c r="D1870" s="24"/>
      <c r="E1870" s="378"/>
    </row>
    <row r="1871" spans="1:5" ht="15" customHeight="1" hidden="1">
      <c r="A1871" s="324" t="s">
        <v>69</v>
      </c>
      <c r="B1871" s="327" t="s">
        <v>271</v>
      </c>
      <c r="C1871" s="369" t="s">
        <v>272</v>
      </c>
      <c r="D1871" s="351" t="s">
        <v>303</v>
      </c>
      <c r="E1871" s="386">
        <v>4.66</v>
      </c>
    </row>
    <row r="1872" spans="1:5" ht="15" customHeight="1" hidden="1">
      <c r="A1872" s="324" t="s">
        <v>70</v>
      </c>
      <c r="B1872" s="327" t="s">
        <v>275</v>
      </c>
      <c r="C1872" s="362" t="s">
        <v>202</v>
      </c>
      <c r="D1872" s="352" t="s">
        <v>304</v>
      </c>
      <c r="E1872" s="386">
        <f>E1868</f>
        <v>1.210997373258584</v>
      </c>
    </row>
    <row r="1873" spans="1:5" ht="15" customHeight="1" hidden="1">
      <c r="A1873" s="81" t="s">
        <v>72</v>
      </c>
      <c r="B1873" s="358" t="s">
        <v>276</v>
      </c>
      <c r="C1873" s="370"/>
      <c r="D1873" s="356"/>
      <c r="E1873" s="440"/>
    </row>
    <row r="1874" spans="1:5" ht="15" customHeight="1" hidden="1">
      <c r="A1874" s="328" t="s">
        <v>79</v>
      </c>
      <c r="B1874" s="327" t="s">
        <v>277</v>
      </c>
      <c r="C1874" s="362" t="s">
        <v>202</v>
      </c>
      <c r="D1874" s="351" t="s">
        <v>280</v>
      </c>
      <c r="E1874" s="493">
        <v>0.09</v>
      </c>
    </row>
    <row r="1875" spans="1:5" ht="17.25" customHeight="1" hidden="1">
      <c r="A1875" s="328" t="s">
        <v>278</v>
      </c>
      <c r="B1875" s="480" t="s">
        <v>310</v>
      </c>
      <c r="C1875" s="481" t="s">
        <v>311</v>
      </c>
      <c r="D1875" s="475" t="s">
        <v>313</v>
      </c>
      <c r="E1875" s="315">
        <v>13.42</v>
      </c>
    </row>
    <row r="1876" spans="1:5" ht="18" customHeight="1" hidden="1">
      <c r="A1876" s="328" t="s">
        <v>279</v>
      </c>
      <c r="B1876" s="480" t="s">
        <v>312</v>
      </c>
      <c r="C1876" s="481" t="s">
        <v>311</v>
      </c>
      <c r="D1876" s="474" t="s">
        <v>314</v>
      </c>
      <c r="E1876" s="315">
        <v>0.68</v>
      </c>
    </row>
    <row r="1877" spans="1:5" ht="27.75" customHeight="1" hidden="1">
      <c r="A1877" s="347" t="s">
        <v>115</v>
      </c>
      <c r="B1877" s="476" t="s">
        <v>281</v>
      </c>
      <c r="C1877" s="477"/>
      <c r="D1877" s="478" t="s">
        <v>316</v>
      </c>
      <c r="E1877" s="477"/>
    </row>
    <row r="1878" spans="1:5" ht="15" customHeight="1" hidden="1">
      <c r="A1878" s="348" t="s">
        <v>80</v>
      </c>
      <c r="B1878" s="331" t="s">
        <v>81</v>
      </c>
      <c r="C1878" s="362" t="s">
        <v>202</v>
      </c>
      <c r="D1878" s="479" t="s">
        <v>317</v>
      </c>
      <c r="E1878" s="493">
        <v>-0.02</v>
      </c>
    </row>
    <row r="1879" spans="1:5" ht="15" customHeight="1" hidden="1">
      <c r="A1879" s="348" t="s">
        <v>82</v>
      </c>
      <c r="B1879" s="331" t="s">
        <v>83</v>
      </c>
      <c r="C1879" s="362" t="s">
        <v>202</v>
      </c>
      <c r="D1879" s="479" t="s">
        <v>317</v>
      </c>
      <c r="E1879" s="493">
        <v>-0.04</v>
      </c>
    </row>
    <row r="1880" spans="1:5" ht="26.25" customHeight="1" hidden="1">
      <c r="A1880" s="459" t="s">
        <v>84</v>
      </c>
      <c r="B1880" s="458" t="s">
        <v>282</v>
      </c>
      <c r="C1880" s="362" t="s">
        <v>202</v>
      </c>
      <c r="D1880" s="315"/>
      <c r="E1880" s="443">
        <f>ROUND(E1858+E1866+E1874+E1878+E1879,2)</f>
        <v>7.62</v>
      </c>
    </row>
    <row r="1881" spans="1:5" ht="15" customHeight="1" hidden="1">
      <c r="A1881" s="216" t="s">
        <v>85</v>
      </c>
      <c r="B1881" s="372" t="s">
        <v>86</v>
      </c>
      <c r="C1881" s="362" t="s">
        <v>283</v>
      </c>
      <c r="D1881" s="315"/>
      <c r="E1881" s="315">
        <v>0</v>
      </c>
    </row>
    <row r="1882" spans="1:5" ht="15" customHeight="1" hidden="1">
      <c r="A1882" s="544" t="s">
        <v>87</v>
      </c>
      <c r="B1882" s="546" t="s">
        <v>88</v>
      </c>
      <c r="C1882" s="362" t="s">
        <v>202</v>
      </c>
      <c r="D1882" s="353"/>
      <c r="E1882" s="394">
        <f>E1880</f>
        <v>7.62</v>
      </c>
    </row>
    <row r="1883" spans="1:5" ht="15" customHeight="1" hidden="1">
      <c r="A1883" s="545"/>
      <c r="B1883" s="547"/>
      <c r="C1883" s="361" t="s">
        <v>59</v>
      </c>
      <c r="D1883" s="353"/>
      <c r="E1883" s="442">
        <v>26.31</v>
      </c>
    </row>
    <row r="1884" spans="1:5" ht="15" customHeight="1" hidden="1">
      <c r="A1884" s="548" t="s">
        <v>89</v>
      </c>
      <c r="B1884" s="546" t="s">
        <v>90</v>
      </c>
      <c r="C1884" s="362" t="s">
        <v>202</v>
      </c>
      <c r="D1884" s="353"/>
      <c r="E1884" s="392">
        <f>E1882*1.09</f>
        <v>8.305800000000001</v>
      </c>
    </row>
    <row r="1885" spans="1:5" ht="15" customHeight="1" hidden="1">
      <c r="A1885" s="549"/>
      <c r="B1885" s="547"/>
      <c r="C1885" s="361" t="s">
        <v>59</v>
      </c>
      <c r="D1885" s="353"/>
      <c r="E1885" s="442">
        <v>28.68</v>
      </c>
    </row>
    <row r="1886" spans="1:5" ht="15" customHeight="1" hidden="1">
      <c r="A1886" s="548" t="s">
        <v>91</v>
      </c>
      <c r="B1886" s="546" t="s">
        <v>92</v>
      </c>
      <c r="C1886" s="362" t="s">
        <v>202</v>
      </c>
      <c r="D1886" s="353"/>
      <c r="E1886" s="392">
        <v>7.79</v>
      </c>
    </row>
    <row r="1887" spans="1:5" ht="15" customHeight="1" hidden="1">
      <c r="A1887" s="549"/>
      <c r="B1887" s="547"/>
      <c r="C1887" s="361" t="s">
        <v>59</v>
      </c>
      <c r="D1887" s="353"/>
      <c r="E1887" s="442">
        <v>26.9</v>
      </c>
    </row>
    <row r="1888" spans="1:5" ht="15" customHeight="1" hidden="1">
      <c r="A1888" s="329" t="s">
        <v>93</v>
      </c>
      <c r="B1888" s="330" t="s">
        <v>284</v>
      </c>
      <c r="C1888" s="371" t="s">
        <v>95</v>
      </c>
      <c r="D1888" s="353"/>
      <c r="E1888" s="392">
        <f>(E1880/E1886)*100-100</f>
        <v>-2.182284980744541</v>
      </c>
    </row>
    <row r="1889" spans="1:5" ht="15" customHeight="1" hidden="1">
      <c r="A1889" s="348" t="s">
        <v>96</v>
      </c>
      <c r="B1889" s="331" t="s">
        <v>97</v>
      </c>
      <c r="C1889" s="85" t="s">
        <v>285</v>
      </c>
      <c r="D1889" s="354"/>
      <c r="E1889" s="486">
        <v>5305.045</v>
      </c>
    </row>
    <row r="1890" spans="1:5" ht="15" customHeight="1" hidden="1">
      <c r="A1890" s="348" t="s">
        <v>99</v>
      </c>
      <c r="B1890" s="331" t="s">
        <v>286</v>
      </c>
      <c r="C1890" s="85" t="s">
        <v>285</v>
      </c>
      <c r="D1890" s="315"/>
      <c r="E1890" s="486">
        <v>5305.045</v>
      </c>
    </row>
    <row r="1891" spans="1:5" ht="15" customHeight="1" hidden="1">
      <c r="A1891" s="332" t="s">
        <v>101</v>
      </c>
      <c r="B1891" s="331" t="s">
        <v>287</v>
      </c>
      <c r="C1891" s="85" t="s">
        <v>285</v>
      </c>
      <c r="D1891" s="355"/>
      <c r="E1891" s="487">
        <v>4783.538</v>
      </c>
    </row>
    <row r="1892" spans="1:5" ht="15" customHeight="1" hidden="1">
      <c r="A1892" s="332">
        <v>14</v>
      </c>
      <c r="B1892" s="331" t="s">
        <v>288</v>
      </c>
      <c r="C1892" s="80" t="s">
        <v>285</v>
      </c>
      <c r="D1892" s="315"/>
      <c r="E1892" s="315">
        <v>0</v>
      </c>
    </row>
    <row r="1893" ht="15" hidden="1">
      <c r="B1893" s="497" t="s">
        <v>321</v>
      </c>
    </row>
    <row r="1894" ht="15" hidden="1"/>
    <row r="1895" spans="2:4" ht="15" hidden="1">
      <c r="B1895" t="s">
        <v>144</v>
      </c>
      <c r="C1895" t="s">
        <v>148</v>
      </c>
      <c r="D1895" s="101" t="s">
        <v>145</v>
      </c>
    </row>
    <row r="1896" ht="15" hidden="1">
      <c r="C1896" s="108" t="s">
        <v>149</v>
      </c>
    </row>
    <row r="1897" ht="15" hidden="1"/>
    <row r="1898" spans="4:7" s="316" customFormat="1" ht="12.75" customHeight="1" hidden="1">
      <c r="D1898" s="446" t="s">
        <v>242</v>
      </c>
      <c r="E1898" s="446"/>
      <c r="F1898" s="340"/>
      <c r="G1898" s="317"/>
    </row>
    <row r="1899" spans="4:7" s="316" customFormat="1" ht="12.75" customHeight="1" hidden="1">
      <c r="D1899" s="550" t="s">
        <v>243</v>
      </c>
      <c r="E1899" s="550"/>
      <c r="F1899" s="333"/>
      <c r="G1899" s="317"/>
    </row>
    <row r="1900" spans="4:7" s="316" customFormat="1" ht="12.75" customHeight="1" hidden="1">
      <c r="D1900" s="550" t="s">
        <v>244</v>
      </c>
      <c r="E1900" s="550"/>
      <c r="F1900" s="333"/>
      <c r="G1900" s="317"/>
    </row>
    <row r="1901" spans="4:6" s="316" customFormat="1" ht="12.75" customHeight="1" hidden="1">
      <c r="D1901" s="466" t="s">
        <v>253</v>
      </c>
      <c r="E1901" s="374"/>
      <c r="F1901" s="334"/>
    </row>
    <row r="1902" s="316" customFormat="1" ht="6.75" customHeight="1" hidden="1"/>
    <row r="1903" spans="1:6" s="316" customFormat="1" ht="13.5" customHeight="1" hidden="1">
      <c r="A1903" s="335"/>
      <c r="B1903" s="319" t="s">
        <v>245</v>
      </c>
      <c r="C1903" s="318"/>
      <c r="D1903" s="319" t="s">
        <v>246</v>
      </c>
      <c r="E1903" s="338"/>
      <c r="F1903" s="338"/>
    </row>
    <row r="1904" spans="1:6" s="316" customFormat="1" ht="13.5" customHeight="1" hidden="1">
      <c r="A1904" s="335"/>
      <c r="B1904" s="318" t="s">
        <v>247</v>
      </c>
      <c r="C1904" s="318"/>
      <c r="D1904" s="319" t="s">
        <v>248</v>
      </c>
      <c r="E1904" s="338"/>
      <c r="F1904" s="338"/>
    </row>
    <row r="1905" spans="1:6" s="316" customFormat="1" ht="13.5" customHeight="1" hidden="1">
      <c r="A1905" s="335"/>
      <c r="B1905" s="319" t="s">
        <v>289</v>
      </c>
      <c r="C1905" s="320"/>
      <c r="D1905" s="319" t="s">
        <v>249</v>
      </c>
      <c r="E1905" s="338"/>
      <c r="F1905" s="338"/>
    </row>
    <row r="1906" spans="1:6" s="316" customFormat="1" ht="13.5" customHeight="1" hidden="1">
      <c r="A1906" s="335"/>
      <c r="B1906" s="319" t="s">
        <v>290</v>
      </c>
      <c r="C1906" s="318"/>
      <c r="D1906" s="319" t="s">
        <v>295</v>
      </c>
      <c r="E1906" s="338"/>
      <c r="F1906" s="338"/>
    </row>
    <row r="1907" spans="1:6" s="316" customFormat="1" ht="13.5" customHeight="1" hidden="1">
      <c r="A1907" s="335"/>
      <c r="B1907" s="319" t="s">
        <v>291</v>
      </c>
      <c r="C1907" s="318"/>
      <c r="D1907" s="319" t="s">
        <v>292</v>
      </c>
      <c r="E1907" s="338"/>
      <c r="F1907" s="338"/>
    </row>
    <row r="1908" spans="1:6" s="316" customFormat="1" ht="13.5" customHeight="1" hidden="1">
      <c r="A1908" s="335"/>
      <c r="B1908" s="319" t="s">
        <v>292</v>
      </c>
      <c r="C1908" s="318"/>
      <c r="D1908" s="319" t="s">
        <v>296</v>
      </c>
      <c r="E1908" s="339"/>
      <c r="F1908" s="339"/>
    </row>
    <row r="1909" spans="1:6" s="316" customFormat="1" ht="13.5" customHeight="1" hidden="1">
      <c r="A1909" s="335"/>
      <c r="B1909" s="319" t="s">
        <v>293</v>
      </c>
      <c r="C1909" s="321"/>
      <c r="D1909" s="319"/>
      <c r="E1909" s="338"/>
      <c r="F1909" s="338"/>
    </row>
    <row r="1910" spans="1:6" s="316" customFormat="1" ht="13.5" customHeight="1" hidden="1">
      <c r="A1910" s="335"/>
      <c r="B1910" s="319" t="s">
        <v>294</v>
      </c>
      <c r="C1910" s="321"/>
      <c r="D1910" s="319"/>
      <c r="E1910" s="338"/>
      <c r="F1910" s="338"/>
    </row>
    <row r="1911" spans="1:5" ht="15" hidden="1">
      <c r="A1911" s="107"/>
      <c r="B1911" s="87"/>
      <c r="C1911" s="87"/>
      <c r="D1911" s="87"/>
      <c r="E1911" s="373"/>
    </row>
    <row r="1912" spans="1:4" ht="15.75" hidden="1">
      <c r="A1912" s="96" t="s">
        <v>206</v>
      </c>
      <c r="B1912" s="96" t="s">
        <v>327</v>
      </c>
      <c r="C1912" s="2"/>
      <c r="D1912" s="2"/>
    </row>
    <row r="1913" spans="1:4" ht="15.75" hidden="1">
      <c r="A1913" s="96"/>
      <c r="B1913" s="96"/>
      <c r="C1913" s="483" t="s">
        <v>328</v>
      </c>
      <c r="D1913" s="2"/>
    </row>
    <row r="1914" spans="1:4" ht="12" customHeight="1" hidden="1">
      <c r="A1914" s="96"/>
      <c r="B1914" s="96"/>
      <c r="C1914" s="359" t="s">
        <v>146</v>
      </c>
      <c r="D1914" s="2"/>
    </row>
    <row r="1915" spans="1:4" ht="6.75" customHeight="1" hidden="1">
      <c r="A1915" s="96"/>
      <c r="B1915" s="96"/>
      <c r="C1915" s="359"/>
      <c r="D1915" s="2"/>
    </row>
    <row r="1916" spans="1:5" ht="15" hidden="1">
      <c r="A1916" s="337" t="s">
        <v>6</v>
      </c>
      <c r="B1916" s="2"/>
      <c r="C1916" s="2"/>
      <c r="D1916" s="2"/>
      <c r="E1916" s="376"/>
    </row>
    <row r="1917" spans="1:5" ht="15" hidden="1">
      <c r="A1917" s="336" t="s">
        <v>250</v>
      </c>
      <c r="B1917" s="1"/>
      <c r="C1917" s="1"/>
      <c r="D1917" s="1"/>
      <c r="E1917" s="316"/>
    </row>
    <row r="1918" spans="1:5" ht="14.25" customHeight="1" hidden="1">
      <c r="A1918" s="336"/>
      <c r="B1918" s="1"/>
      <c r="C1918" s="1"/>
      <c r="D1918" s="1"/>
      <c r="E1918" s="316"/>
    </row>
    <row r="1919" spans="1:5" ht="15" hidden="1">
      <c r="A1919" s="87" t="s">
        <v>7</v>
      </c>
      <c r="B1919" s="1"/>
      <c r="C1919" s="1"/>
      <c r="D1919" s="1"/>
      <c r="E1919" s="316"/>
    </row>
    <row r="1920" spans="1:5" ht="33" customHeight="1" hidden="1">
      <c r="A1920" s="551" t="s">
        <v>315</v>
      </c>
      <c r="B1920" s="551"/>
      <c r="C1920" s="551"/>
      <c r="D1920" s="551"/>
      <c r="E1920" s="551"/>
    </row>
    <row r="1921" spans="1:5" ht="15" hidden="1">
      <c r="A1921" s="323" t="s">
        <v>8</v>
      </c>
      <c r="B1921" s="323" t="s">
        <v>9</v>
      </c>
      <c r="C1921" s="323" t="s">
        <v>10</v>
      </c>
      <c r="D1921" s="323" t="s">
        <v>11</v>
      </c>
      <c r="E1921" s="323" t="s">
        <v>12</v>
      </c>
    </row>
    <row r="1922" spans="1:5" ht="12" customHeight="1" hidden="1">
      <c r="A1922" s="25">
        <v>1</v>
      </c>
      <c r="B1922" s="25">
        <v>2</v>
      </c>
      <c r="C1922" s="25">
        <v>3</v>
      </c>
      <c r="D1922" s="25">
        <v>4</v>
      </c>
      <c r="E1922" s="377">
        <v>5</v>
      </c>
    </row>
    <row r="1923" spans="1:5" ht="15" customHeight="1" hidden="1">
      <c r="A1923" s="341" t="s">
        <v>13</v>
      </c>
      <c r="B1923" s="322" t="s">
        <v>254</v>
      </c>
      <c r="C1923" s="295"/>
      <c r="D1923" s="295"/>
      <c r="E1923" s="434"/>
    </row>
    <row r="1924" spans="1:7" ht="22.5" customHeight="1" hidden="1">
      <c r="A1924" s="451" t="s">
        <v>15</v>
      </c>
      <c r="B1924" s="450" t="s">
        <v>257</v>
      </c>
      <c r="C1924" s="362" t="s">
        <v>202</v>
      </c>
      <c r="D1924" s="452" t="s">
        <v>259</v>
      </c>
      <c r="E1924" s="488">
        <f>E1925+E1926</f>
        <v>5.959851173059768</v>
      </c>
      <c r="G1924" s="277"/>
    </row>
    <row r="1925" spans="1:5" ht="18" customHeight="1" hidden="1">
      <c r="A1925" s="464" t="s">
        <v>16</v>
      </c>
      <c r="B1925" s="465" t="s">
        <v>256</v>
      </c>
      <c r="C1925" s="362" t="s">
        <v>202</v>
      </c>
      <c r="D1925" s="454" t="s">
        <v>260</v>
      </c>
      <c r="E1925" s="489">
        <v>1.32</v>
      </c>
    </row>
    <row r="1926" spans="1:5" ht="17.25" customHeight="1" hidden="1">
      <c r="A1926" s="552" t="s">
        <v>17</v>
      </c>
      <c r="B1926" s="465" t="s">
        <v>255</v>
      </c>
      <c r="C1926" s="362" t="s">
        <v>202</v>
      </c>
      <c r="D1926" s="485" t="s">
        <v>319</v>
      </c>
      <c r="E1926" s="490">
        <f>0.08+((44951*E1932+226*E1940+106.1*E1936+509*E1944)/(44.84*1000))/10</f>
        <v>4.639851173059768</v>
      </c>
    </row>
    <row r="1927" spans="1:5" ht="27.75" customHeight="1" hidden="1">
      <c r="A1927" s="552"/>
      <c r="B1927" s="363" t="s">
        <v>255</v>
      </c>
      <c r="C1927" s="494" t="s">
        <v>320</v>
      </c>
      <c r="D1927" s="364" t="s">
        <v>322</v>
      </c>
      <c r="E1927" s="435"/>
    </row>
    <row r="1928" spans="1:5" ht="15" customHeight="1" hidden="1">
      <c r="A1928" s="342" t="s">
        <v>21</v>
      </c>
      <c r="B1928" s="188" t="s">
        <v>261</v>
      </c>
      <c r="C1928" s="31"/>
      <c r="D1928" s="188"/>
      <c r="E1928" s="383"/>
    </row>
    <row r="1929" spans="1:5" ht="15" customHeight="1" hidden="1">
      <c r="A1929" s="47" t="s">
        <v>23</v>
      </c>
      <c r="B1929" s="360" t="s">
        <v>24</v>
      </c>
      <c r="C1929" s="49"/>
      <c r="D1929" s="49"/>
      <c r="E1929" s="384"/>
    </row>
    <row r="1930" spans="1:5" ht="15" customHeight="1" hidden="1">
      <c r="A1930" s="25" t="s">
        <v>25</v>
      </c>
      <c r="B1930" s="24" t="s">
        <v>26</v>
      </c>
      <c r="C1930" s="482" t="s">
        <v>238</v>
      </c>
      <c r="D1930" s="24"/>
      <c r="E1930" s="436">
        <v>30</v>
      </c>
    </row>
    <row r="1931" spans="1:5" ht="15" customHeight="1" hidden="1">
      <c r="A1931" s="25" t="s">
        <v>27</v>
      </c>
      <c r="B1931" s="24" t="s">
        <v>28</v>
      </c>
      <c r="C1931" s="470" t="s">
        <v>238</v>
      </c>
      <c r="D1931" s="24"/>
      <c r="E1931" s="437">
        <v>12.56</v>
      </c>
    </row>
    <row r="1932" spans="1:5" ht="15" customHeight="1" hidden="1">
      <c r="A1932" s="25" t="s">
        <v>29</v>
      </c>
      <c r="B1932" s="38" t="s">
        <v>30</v>
      </c>
      <c r="C1932" s="470" t="s">
        <v>238</v>
      </c>
      <c r="D1932" s="24"/>
      <c r="E1932" s="438">
        <f>E1930+E1931</f>
        <v>42.56</v>
      </c>
    </row>
    <row r="1933" spans="1:5" ht="15" customHeight="1" hidden="1">
      <c r="A1933" s="36" t="s">
        <v>31</v>
      </c>
      <c r="B1933" s="41" t="s">
        <v>177</v>
      </c>
      <c r="C1933" s="42"/>
      <c r="D1933" s="42"/>
      <c r="E1933" s="385"/>
    </row>
    <row r="1934" spans="1:5" ht="15" customHeight="1" hidden="1">
      <c r="A1934" s="25" t="s">
        <v>35</v>
      </c>
      <c r="B1934" s="24" t="s">
        <v>26</v>
      </c>
      <c r="C1934" s="471" t="s">
        <v>309</v>
      </c>
      <c r="D1934" s="24"/>
      <c r="E1934" s="386"/>
    </row>
    <row r="1935" spans="1:5" ht="15" customHeight="1" hidden="1">
      <c r="A1935" s="25" t="s">
        <v>36</v>
      </c>
      <c r="B1935" s="24" t="s">
        <v>28</v>
      </c>
      <c r="C1935" s="472" t="s">
        <v>309</v>
      </c>
      <c r="D1935" s="24"/>
      <c r="E1935" s="386"/>
    </row>
    <row r="1936" spans="1:5" ht="15" customHeight="1" hidden="1">
      <c r="A1936" s="25" t="s">
        <v>37</v>
      </c>
      <c r="B1936" s="24" t="s">
        <v>30</v>
      </c>
      <c r="C1936" s="472" t="s">
        <v>309</v>
      </c>
      <c r="D1936" s="24"/>
      <c r="E1936" s="438">
        <v>171.06</v>
      </c>
    </row>
    <row r="1937" spans="1:5" ht="15" customHeight="1" hidden="1">
      <c r="A1937" s="36" t="s">
        <v>34</v>
      </c>
      <c r="B1937" s="41" t="s">
        <v>178</v>
      </c>
      <c r="C1937" s="271"/>
      <c r="D1937" s="42"/>
      <c r="E1937" s="385"/>
    </row>
    <row r="1938" spans="1:5" ht="15" customHeight="1" hidden="1">
      <c r="A1938" s="25" t="s">
        <v>38</v>
      </c>
      <c r="B1938" s="24" t="s">
        <v>26</v>
      </c>
      <c r="C1938" s="472" t="s">
        <v>309</v>
      </c>
      <c r="D1938" s="24"/>
      <c r="E1938" s="386"/>
    </row>
    <row r="1939" spans="1:5" ht="15" customHeight="1" hidden="1">
      <c r="A1939" s="25" t="s">
        <v>39</v>
      </c>
      <c r="B1939" s="24" t="s">
        <v>28</v>
      </c>
      <c r="C1939" s="472" t="s">
        <v>309</v>
      </c>
      <c r="D1939" s="24"/>
      <c r="E1939" s="386"/>
    </row>
    <row r="1940" spans="1:5" ht="15" customHeight="1" hidden="1">
      <c r="A1940" s="25" t="s">
        <v>40</v>
      </c>
      <c r="B1940" s="24" t="s">
        <v>30</v>
      </c>
      <c r="C1940" s="472" t="s">
        <v>309</v>
      </c>
      <c r="D1940" s="24"/>
      <c r="E1940" s="438">
        <v>128.55</v>
      </c>
    </row>
    <row r="1941" spans="1:5" ht="15" customHeight="1" hidden="1">
      <c r="A1941" s="37" t="s">
        <v>262</v>
      </c>
      <c r="B1941" s="45" t="s">
        <v>103</v>
      </c>
      <c r="C1941" s="46"/>
      <c r="D1941" s="46"/>
      <c r="E1941" s="387"/>
    </row>
    <row r="1942" spans="1:5" ht="15" customHeight="1" hidden="1">
      <c r="A1942" s="29" t="s">
        <v>263</v>
      </c>
      <c r="B1942" s="44" t="s">
        <v>26</v>
      </c>
      <c r="C1942" s="472" t="s">
        <v>309</v>
      </c>
      <c r="D1942" s="24"/>
      <c r="E1942" s="386">
        <v>151.41</v>
      </c>
    </row>
    <row r="1943" spans="1:5" ht="15" customHeight="1" hidden="1">
      <c r="A1943" s="29" t="s">
        <v>264</v>
      </c>
      <c r="B1943" s="24" t="s">
        <v>28</v>
      </c>
      <c r="C1943" s="472" t="s">
        <v>309</v>
      </c>
      <c r="D1943" s="24"/>
      <c r="E1943" s="378">
        <v>14.25</v>
      </c>
    </row>
    <row r="1944" spans="1:5" ht="15" customHeight="1" hidden="1">
      <c r="A1944" s="343" t="s">
        <v>265</v>
      </c>
      <c r="B1944" s="38" t="s">
        <v>30</v>
      </c>
      <c r="C1944" s="472" t="s">
        <v>309</v>
      </c>
      <c r="D1944" s="24"/>
      <c r="E1944" s="438">
        <f>+E1942+E1943</f>
        <v>165.66</v>
      </c>
    </row>
    <row r="1945" spans="1:5" ht="15" customHeight="1" hidden="1">
      <c r="A1945" s="344" t="s">
        <v>42</v>
      </c>
      <c r="B1945" s="325" t="s">
        <v>266</v>
      </c>
      <c r="C1945" s="52"/>
      <c r="D1945" s="52"/>
      <c r="E1945" s="388"/>
    </row>
    <row r="1946" spans="1:5" ht="15" customHeight="1" hidden="1">
      <c r="A1946" s="25" t="s">
        <v>44</v>
      </c>
      <c r="B1946" s="24" t="s">
        <v>267</v>
      </c>
      <c r="C1946" s="24"/>
      <c r="D1946" s="24"/>
      <c r="E1946" s="377" t="s">
        <v>106</v>
      </c>
    </row>
    <row r="1947" spans="1:5" ht="15" customHeight="1" hidden="1">
      <c r="A1947" s="25" t="s">
        <v>45</v>
      </c>
      <c r="B1947" s="24" t="s">
        <v>268</v>
      </c>
      <c r="C1947" s="362" t="s">
        <v>202</v>
      </c>
      <c r="D1947" s="24"/>
      <c r="E1947" s="378">
        <v>0</v>
      </c>
    </row>
    <row r="1948" spans="1:5" ht="24" customHeight="1" hidden="1">
      <c r="A1948" s="345" t="s">
        <v>46</v>
      </c>
      <c r="B1948" s="357" t="s">
        <v>269</v>
      </c>
      <c r="C1948" s="362" t="s">
        <v>202</v>
      </c>
      <c r="D1948" s="349" t="s">
        <v>297</v>
      </c>
      <c r="E1948" s="491">
        <f>E1949+E1950</f>
        <v>5.959851173059768</v>
      </c>
    </row>
    <row r="1949" spans="1:5" ht="17.25" customHeight="1" hidden="1">
      <c r="A1949" s="25" t="s">
        <v>48</v>
      </c>
      <c r="B1949" s="24" t="s">
        <v>49</v>
      </c>
      <c r="C1949" s="362" t="s">
        <v>202</v>
      </c>
      <c r="D1949" s="454" t="s">
        <v>298</v>
      </c>
      <c r="E1949" s="386">
        <f>E1925</f>
        <v>1.32</v>
      </c>
    </row>
    <row r="1950" spans="1:5" ht="18" customHeight="1" hidden="1">
      <c r="A1950" s="553" t="s">
        <v>50</v>
      </c>
      <c r="B1950" s="326" t="s">
        <v>51</v>
      </c>
      <c r="C1950" s="365" t="s">
        <v>202</v>
      </c>
      <c r="D1950" s="454" t="s">
        <v>299</v>
      </c>
      <c r="E1950" s="390">
        <f>E1926</f>
        <v>4.639851173059768</v>
      </c>
    </row>
    <row r="1951" spans="1:5" ht="27" customHeight="1" hidden="1">
      <c r="A1951" s="554"/>
      <c r="B1951" s="363" t="s">
        <v>51</v>
      </c>
      <c r="C1951" s="366" t="s">
        <v>320</v>
      </c>
      <c r="D1951" s="364" t="s">
        <v>322</v>
      </c>
      <c r="E1951" s="439"/>
    </row>
    <row r="1952" spans="1:5" ht="15" customHeight="1" hidden="1">
      <c r="A1952" s="25" t="s">
        <v>52</v>
      </c>
      <c r="B1952" s="346" t="s">
        <v>270</v>
      </c>
      <c r="C1952" s="33"/>
      <c r="D1952" s="33"/>
      <c r="E1952" s="383"/>
    </row>
    <row r="1953" spans="1:5" ht="15" customHeight="1" hidden="1">
      <c r="A1953" s="25" t="s">
        <v>54</v>
      </c>
      <c r="B1953" s="24" t="s">
        <v>271</v>
      </c>
      <c r="C1953" s="11" t="s">
        <v>272</v>
      </c>
      <c r="D1953" s="351" t="s">
        <v>300</v>
      </c>
      <c r="E1953" s="378">
        <v>9.66</v>
      </c>
    </row>
    <row r="1954" spans="1:7" ht="15" customHeight="1" hidden="1">
      <c r="A1954" s="25" t="s">
        <v>57</v>
      </c>
      <c r="B1954" s="24" t="s">
        <v>58</v>
      </c>
      <c r="C1954" s="362" t="s">
        <v>202</v>
      </c>
      <c r="D1954" s="352" t="s">
        <v>299</v>
      </c>
      <c r="E1954" s="386">
        <f>E1950</f>
        <v>4.639851173059768</v>
      </c>
      <c r="G1954" s="276"/>
    </row>
    <row r="1955" spans="1:5" ht="15" customHeight="1" hidden="1">
      <c r="A1955" s="34" t="s">
        <v>60</v>
      </c>
      <c r="B1955" s="358" t="s">
        <v>61</v>
      </c>
      <c r="C1955" s="356"/>
      <c r="D1955" s="356"/>
      <c r="E1955" s="440"/>
    </row>
    <row r="1956" spans="1:5" ht="17.25" customHeight="1" hidden="1">
      <c r="A1956" s="456" t="s">
        <v>62</v>
      </c>
      <c r="B1956" s="455" t="s">
        <v>273</v>
      </c>
      <c r="C1956" s="362" t="s">
        <v>202</v>
      </c>
      <c r="D1956" s="454" t="s">
        <v>301</v>
      </c>
      <c r="E1956" s="492">
        <f>E1957+E1958</f>
        <v>1.9775883641742742</v>
      </c>
    </row>
    <row r="1957" spans="1:5" ht="17.25" customHeight="1" hidden="1">
      <c r="A1957" s="27" t="s">
        <v>63</v>
      </c>
      <c r="B1957" s="496" t="s">
        <v>64</v>
      </c>
      <c r="C1957" s="362" t="s">
        <v>202</v>
      </c>
      <c r="D1957" s="454" t="s">
        <v>302</v>
      </c>
      <c r="E1957" s="383">
        <v>0.71</v>
      </c>
    </row>
    <row r="1958" spans="1:5" ht="18.75" customHeight="1" hidden="1">
      <c r="A1958" s="555" t="s">
        <v>65</v>
      </c>
      <c r="B1958" s="457" t="s">
        <v>66</v>
      </c>
      <c r="C1958" s="362" t="s">
        <v>202</v>
      </c>
      <c r="D1958" s="484" t="s">
        <v>318</v>
      </c>
      <c r="E1958" s="368">
        <f>0.12+(7.24*E1924/37.6)</f>
        <v>1.2675883641742742</v>
      </c>
    </row>
    <row r="1959" spans="1:5" ht="15.75" customHeight="1" hidden="1">
      <c r="A1959" s="556"/>
      <c r="B1959" s="473" t="s">
        <v>66</v>
      </c>
      <c r="C1959" s="367" t="s">
        <v>258</v>
      </c>
      <c r="D1959" s="495" t="s">
        <v>323</v>
      </c>
      <c r="E1959" s="441"/>
    </row>
    <row r="1960" spans="1:5" ht="15" customHeight="1" hidden="1">
      <c r="A1960" s="324" t="s">
        <v>67</v>
      </c>
      <c r="B1960" s="327" t="s">
        <v>274</v>
      </c>
      <c r="C1960" s="9"/>
      <c r="D1960" s="24"/>
      <c r="E1960" s="378"/>
    </row>
    <row r="1961" spans="1:5" ht="15" customHeight="1" hidden="1">
      <c r="A1961" s="324" t="s">
        <v>69</v>
      </c>
      <c r="B1961" s="327" t="s">
        <v>271</v>
      </c>
      <c r="C1961" s="369" t="s">
        <v>272</v>
      </c>
      <c r="D1961" s="351" t="s">
        <v>303</v>
      </c>
      <c r="E1961" s="386">
        <v>4.66</v>
      </c>
    </row>
    <row r="1962" spans="1:5" ht="15" customHeight="1" hidden="1">
      <c r="A1962" s="324" t="s">
        <v>70</v>
      </c>
      <c r="B1962" s="327" t="s">
        <v>275</v>
      </c>
      <c r="C1962" s="362" t="s">
        <v>202</v>
      </c>
      <c r="D1962" s="352" t="s">
        <v>304</v>
      </c>
      <c r="E1962" s="386">
        <f>E1958</f>
        <v>1.2675883641742742</v>
      </c>
    </row>
    <row r="1963" spans="1:5" ht="15" customHeight="1" hidden="1">
      <c r="A1963" s="81" t="s">
        <v>72</v>
      </c>
      <c r="B1963" s="358" t="s">
        <v>276</v>
      </c>
      <c r="C1963" s="370"/>
      <c r="D1963" s="356"/>
      <c r="E1963" s="440"/>
    </row>
    <row r="1964" spans="1:5" ht="15" customHeight="1" hidden="1">
      <c r="A1964" s="328" t="s">
        <v>79</v>
      </c>
      <c r="B1964" s="327" t="s">
        <v>277</v>
      </c>
      <c r="C1964" s="362" t="s">
        <v>202</v>
      </c>
      <c r="D1964" s="351" t="s">
        <v>280</v>
      </c>
      <c r="E1964" s="493">
        <v>0.09</v>
      </c>
    </row>
    <row r="1965" spans="1:5" ht="17.25" customHeight="1" hidden="1">
      <c r="A1965" s="328" t="s">
        <v>278</v>
      </c>
      <c r="B1965" s="480" t="s">
        <v>310</v>
      </c>
      <c r="C1965" s="481" t="s">
        <v>311</v>
      </c>
      <c r="D1965" s="475" t="s">
        <v>313</v>
      </c>
      <c r="E1965" s="315">
        <v>13.42</v>
      </c>
    </row>
    <row r="1966" spans="1:5" ht="18" customHeight="1" hidden="1">
      <c r="A1966" s="328" t="s">
        <v>279</v>
      </c>
      <c r="B1966" s="480" t="s">
        <v>312</v>
      </c>
      <c r="C1966" s="481" t="s">
        <v>311</v>
      </c>
      <c r="D1966" s="474" t="s">
        <v>314</v>
      </c>
      <c r="E1966" s="315">
        <v>0.68</v>
      </c>
    </row>
    <row r="1967" spans="1:5" ht="27.75" customHeight="1" hidden="1">
      <c r="A1967" s="347" t="s">
        <v>115</v>
      </c>
      <c r="B1967" s="476" t="s">
        <v>281</v>
      </c>
      <c r="C1967" s="477"/>
      <c r="D1967" s="478"/>
      <c r="E1967" s="477"/>
    </row>
    <row r="1968" spans="1:5" ht="15" customHeight="1" hidden="1">
      <c r="A1968" s="348" t="s">
        <v>80</v>
      </c>
      <c r="B1968" s="331" t="s">
        <v>81</v>
      </c>
      <c r="C1968" s="362" t="s">
        <v>202</v>
      </c>
      <c r="D1968" s="479"/>
      <c r="E1968" s="493"/>
    </row>
    <row r="1969" spans="1:5" ht="15" customHeight="1" hidden="1">
      <c r="A1969" s="348" t="s">
        <v>82</v>
      </c>
      <c r="B1969" s="331" t="s">
        <v>83</v>
      </c>
      <c r="C1969" s="362" t="s">
        <v>202</v>
      </c>
      <c r="D1969" s="479"/>
      <c r="E1969" s="493"/>
    </row>
    <row r="1970" spans="1:5" ht="26.25" customHeight="1" hidden="1">
      <c r="A1970" s="459" t="s">
        <v>84</v>
      </c>
      <c r="B1970" s="458" t="s">
        <v>282</v>
      </c>
      <c r="C1970" s="362" t="s">
        <v>202</v>
      </c>
      <c r="D1970" s="315"/>
      <c r="E1970" s="443">
        <f>ROUND(E1948+E1956+E1964+E1968+E1969,2)</f>
        <v>8.03</v>
      </c>
    </row>
    <row r="1971" spans="1:5" ht="15" customHeight="1" hidden="1">
      <c r="A1971" s="216" t="s">
        <v>85</v>
      </c>
      <c r="B1971" s="372" t="s">
        <v>86</v>
      </c>
      <c r="C1971" s="362" t="s">
        <v>283</v>
      </c>
      <c r="D1971" s="315"/>
      <c r="E1971" s="315">
        <v>0</v>
      </c>
    </row>
    <row r="1972" spans="1:5" ht="15" customHeight="1" hidden="1">
      <c r="A1972" s="544" t="s">
        <v>87</v>
      </c>
      <c r="B1972" s="546" t="s">
        <v>88</v>
      </c>
      <c r="C1972" s="362" t="s">
        <v>202</v>
      </c>
      <c r="D1972" s="353"/>
      <c r="E1972" s="394">
        <f>E1970</f>
        <v>8.03</v>
      </c>
    </row>
    <row r="1973" spans="1:5" ht="15" customHeight="1" hidden="1">
      <c r="A1973" s="545"/>
      <c r="B1973" s="547"/>
      <c r="C1973" s="361" t="s">
        <v>59</v>
      </c>
      <c r="D1973" s="353"/>
      <c r="E1973" s="442">
        <v>27.72</v>
      </c>
    </row>
    <row r="1974" spans="1:5" ht="15" customHeight="1" hidden="1">
      <c r="A1974" s="548" t="s">
        <v>89</v>
      </c>
      <c r="B1974" s="546" t="s">
        <v>90</v>
      </c>
      <c r="C1974" s="362" t="s">
        <v>202</v>
      </c>
      <c r="D1974" s="353"/>
      <c r="E1974" s="392">
        <f>E1972*1.09</f>
        <v>8.7527</v>
      </c>
    </row>
    <row r="1975" spans="1:5" ht="15" customHeight="1" hidden="1">
      <c r="A1975" s="549"/>
      <c r="B1975" s="547"/>
      <c r="C1975" s="361" t="s">
        <v>59</v>
      </c>
      <c r="D1975" s="353"/>
      <c r="E1975" s="442">
        <v>30.21</v>
      </c>
    </row>
    <row r="1976" spans="1:5" ht="15" customHeight="1" hidden="1">
      <c r="A1976" s="548" t="s">
        <v>91</v>
      </c>
      <c r="B1976" s="546" t="s">
        <v>92</v>
      </c>
      <c r="C1976" s="362" t="s">
        <v>202</v>
      </c>
      <c r="D1976" s="353"/>
      <c r="E1976" s="392">
        <v>7.62</v>
      </c>
    </row>
    <row r="1977" spans="1:5" ht="15" customHeight="1" hidden="1">
      <c r="A1977" s="549"/>
      <c r="B1977" s="547"/>
      <c r="C1977" s="361" t="s">
        <v>59</v>
      </c>
      <c r="D1977" s="353"/>
      <c r="E1977" s="442">
        <v>26.31</v>
      </c>
    </row>
    <row r="1978" spans="1:5" ht="15" customHeight="1" hidden="1">
      <c r="A1978" s="329" t="s">
        <v>93</v>
      </c>
      <c r="B1978" s="330" t="s">
        <v>284</v>
      </c>
      <c r="C1978" s="371" t="s">
        <v>95</v>
      </c>
      <c r="D1978" s="353"/>
      <c r="E1978" s="392">
        <f>(E1970/E1976)*100-100</f>
        <v>5.380577427821521</v>
      </c>
    </row>
    <row r="1979" spans="1:5" ht="15" customHeight="1" hidden="1">
      <c r="A1979" s="348" t="s">
        <v>96</v>
      </c>
      <c r="B1979" s="331" t="s">
        <v>97</v>
      </c>
      <c r="C1979" s="85" t="s">
        <v>285</v>
      </c>
      <c r="D1979" s="354"/>
      <c r="E1979" s="520">
        <v>4638.633</v>
      </c>
    </row>
    <row r="1980" spans="1:5" ht="15" customHeight="1" hidden="1">
      <c r="A1980" s="348" t="s">
        <v>99</v>
      </c>
      <c r="B1980" s="331" t="s">
        <v>286</v>
      </c>
      <c r="C1980" s="85" t="s">
        <v>285</v>
      </c>
      <c r="D1980" s="315"/>
      <c r="E1980" s="520">
        <v>4638.633</v>
      </c>
    </row>
    <row r="1981" spans="1:5" ht="15" customHeight="1" hidden="1">
      <c r="A1981" s="332" t="s">
        <v>101</v>
      </c>
      <c r="B1981" s="331" t="s">
        <v>287</v>
      </c>
      <c r="C1981" s="85" t="s">
        <v>285</v>
      </c>
      <c r="D1981" s="355"/>
      <c r="E1981" s="521">
        <v>4174.879</v>
      </c>
    </row>
    <row r="1982" spans="1:5" ht="15" customHeight="1" hidden="1">
      <c r="A1982" s="332">
        <v>14</v>
      </c>
      <c r="B1982" s="331" t="s">
        <v>288</v>
      </c>
      <c r="C1982" s="80" t="s">
        <v>285</v>
      </c>
      <c r="D1982" s="315"/>
      <c r="E1982" s="315">
        <v>0</v>
      </c>
    </row>
    <row r="1983" ht="15" hidden="1">
      <c r="B1983" s="497" t="s">
        <v>321</v>
      </c>
    </row>
    <row r="1984" ht="15" hidden="1"/>
    <row r="1985" spans="2:4" ht="15" hidden="1">
      <c r="B1985" t="s">
        <v>144</v>
      </c>
      <c r="C1985" t="s">
        <v>148</v>
      </c>
      <c r="D1985" s="101" t="s">
        <v>145</v>
      </c>
    </row>
    <row r="1986" ht="15" hidden="1">
      <c r="C1986" s="108" t="s">
        <v>149</v>
      </c>
    </row>
    <row r="1987" ht="15" hidden="1"/>
    <row r="1988" spans="4:7" s="316" customFormat="1" ht="12.75" customHeight="1" hidden="1">
      <c r="D1988" s="446" t="s">
        <v>242</v>
      </c>
      <c r="E1988" s="446"/>
      <c r="F1988" s="340"/>
      <c r="G1988" s="317"/>
    </row>
    <row r="1989" spans="4:7" s="316" customFormat="1" ht="12.75" customHeight="1" hidden="1">
      <c r="D1989" s="550" t="s">
        <v>243</v>
      </c>
      <c r="E1989" s="550"/>
      <c r="F1989" s="333"/>
      <c r="G1989" s="317"/>
    </row>
    <row r="1990" spans="4:7" s="316" customFormat="1" ht="12.75" customHeight="1" hidden="1">
      <c r="D1990" s="550" t="s">
        <v>244</v>
      </c>
      <c r="E1990" s="550"/>
      <c r="F1990" s="333"/>
      <c r="G1990" s="317"/>
    </row>
    <row r="1991" spans="4:6" s="316" customFormat="1" ht="12.75" customHeight="1" hidden="1">
      <c r="D1991" s="514" t="s">
        <v>253</v>
      </c>
      <c r="E1991" s="374"/>
      <c r="F1991" s="334"/>
    </row>
    <row r="1992" s="316" customFormat="1" ht="6.75" customHeight="1" hidden="1"/>
    <row r="1993" spans="1:6" s="316" customFormat="1" ht="13.5" customHeight="1" hidden="1">
      <c r="A1993" s="335"/>
      <c r="B1993" s="319" t="s">
        <v>245</v>
      </c>
      <c r="C1993" s="318"/>
      <c r="D1993" s="319" t="s">
        <v>246</v>
      </c>
      <c r="E1993" s="338"/>
      <c r="F1993" s="338"/>
    </row>
    <row r="1994" spans="1:6" s="316" customFormat="1" ht="13.5" customHeight="1" hidden="1">
      <c r="A1994" s="335"/>
      <c r="B1994" s="318" t="s">
        <v>247</v>
      </c>
      <c r="C1994" s="318"/>
      <c r="D1994" s="319" t="s">
        <v>248</v>
      </c>
      <c r="E1994" s="338"/>
      <c r="F1994" s="338"/>
    </row>
    <row r="1995" spans="1:6" s="316" customFormat="1" ht="13.5" customHeight="1" hidden="1">
      <c r="A1995" s="335"/>
      <c r="B1995" s="319" t="s">
        <v>289</v>
      </c>
      <c r="C1995" s="320"/>
      <c r="D1995" s="319" t="s">
        <v>249</v>
      </c>
      <c r="E1995" s="338"/>
      <c r="F1995" s="338"/>
    </row>
    <row r="1996" spans="1:6" s="316" customFormat="1" ht="13.5" customHeight="1" hidden="1">
      <c r="A1996" s="335"/>
      <c r="B1996" s="319" t="s">
        <v>290</v>
      </c>
      <c r="C1996" s="318"/>
      <c r="D1996" s="319" t="s">
        <v>295</v>
      </c>
      <c r="E1996" s="338"/>
      <c r="F1996" s="338"/>
    </row>
    <row r="1997" spans="1:6" s="316" customFormat="1" ht="13.5" customHeight="1" hidden="1">
      <c r="A1997" s="335"/>
      <c r="B1997" s="319" t="s">
        <v>291</v>
      </c>
      <c r="C1997" s="318"/>
      <c r="D1997" s="319" t="s">
        <v>292</v>
      </c>
      <c r="E1997" s="338"/>
      <c r="F1997" s="338"/>
    </row>
    <row r="1998" spans="1:6" s="316" customFormat="1" ht="13.5" customHeight="1" hidden="1">
      <c r="A1998" s="335"/>
      <c r="B1998" s="319" t="s">
        <v>292</v>
      </c>
      <c r="C1998" s="318"/>
      <c r="D1998" s="319" t="s">
        <v>296</v>
      </c>
      <c r="E1998" s="339"/>
      <c r="F1998" s="339"/>
    </row>
    <row r="1999" spans="1:6" s="316" customFormat="1" ht="13.5" customHeight="1" hidden="1">
      <c r="A1999" s="335"/>
      <c r="B1999" s="319" t="s">
        <v>293</v>
      </c>
      <c r="C1999" s="321"/>
      <c r="D1999" s="319"/>
      <c r="E1999" s="338"/>
      <c r="F1999" s="338"/>
    </row>
    <row r="2000" spans="1:6" s="316" customFormat="1" ht="13.5" customHeight="1" hidden="1">
      <c r="A2000" s="335"/>
      <c r="B2000" s="319" t="s">
        <v>294</v>
      </c>
      <c r="C2000" s="321"/>
      <c r="D2000" s="319"/>
      <c r="E2000" s="338"/>
      <c r="F2000" s="338"/>
    </row>
    <row r="2001" spans="1:5" ht="15" hidden="1">
      <c r="A2001" s="107"/>
      <c r="B2001" s="87"/>
      <c r="C2001" s="87"/>
      <c r="D2001" s="87"/>
      <c r="E2001" s="373"/>
    </row>
    <row r="2002" spans="1:4" ht="15.75" hidden="1">
      <c r="A2002" s="96" t="s">
        <v>206</v>
      </c>
      <c r="B2002" s="96" t="s">
        <v>330</v>
      </c>
      <c r="C2002" s="2"/>
      <c r="D2002" s="2"/>
    </row>
    <row r="2003" spans="1:4" ht="15.75" hidden="1">
      <c r="A2003" s="96"/>
      <c r="B2003" s="96"/>
      <c r="C2003" s="483" t="s">
        <v>331</v>
      </c>
      <c r="D2003" s="2"/>
    </row>
    <row r="2004" spans="1:4" ht="12" customHeight="1" hidden="1">
      <c r="A2004" s="96"/>
      <c r="B2004" s="96"/>
      <c r="C2004" s="359" t="s">
        <v>146</v>
      </c>
      <c r="D2004" s="2"/>
    </row>
    <row r="2005" spans="1:4" ht="6.75" customHeight="1" hidden="1">
      <c r="A2005" s="96"/>
      <c r="B2005" s="96"/>
      <c r="C2005" s="359"/>
      <c r="D2005" s="2"/>
    </row>
    <row r="2006" spans="1:5" ht="15" hidden="1">
      <c r="A2006" s="337" t="s">
        <v>6</v>
      </c>
      <c r="B2006" s="2"/>
      <c r="C2006" s="2"/>
      <c r="D2006" s="2"/>
      <c r="E2006" s="376"/>
    </row>
    <row r="2007" spans="1:5" ht="15" hidden="1">
      <c r="A2007" s="336" t="s">
        <v>250</v>
      </c>
      <c r="B2007" s="1"/>
      <c r="C2007" s="1"/>
      <c r="D2007" s="1"/>
      <c r="E2007" s="316"/>
    </row>
    <row r="2008" spans="1:5" ht="14.25" customHeight="1" hidden="1">
      <c r="A2008" s="336"/>
      <c r="B2008" s="1"/>
      <c r="C2008" s="1"/>
      <c r="D2008" s="1"/>
      <c r="E2008" s="316"/>
    </row>
    <row r="2009" spans="1:5" ht="15" hidden="1">
      <c r="A2009" s="87" t="s">
        <v>7</v>
      </c>
      <c r="B2009" s="1"/>
      <c r="C2009" s="1"/>
      <c r="D2009" s="1"/>
      <c r="E2009" s="316"/>
    </row>
    <row r="2010" spans="1:5" ht="33" customHeight="1" hidden="1">
      <c r="A2010" s="551" t="s">
        <v>315</v>
      </c>
      <c r="B2010" s="551"/>
      <c r="C2010" s="551"/>
      <c r="D2010" s="551"/>
      <c r="E2010" s="551"/>
    </row>
    <row r="2011" spans="1:5" ht="15" hidden="1">
      <c r="A2011" s="323" t="s">
        <v>8</v>
      </c>
      <c r="B2011" s="323" t="s">
        <v>9</v>
      </c>
      <c r="C2011" s="323" t="s">
        <v>10</v>
      </c>
      <c r="D2011" s="323" t="s">
        <v>11</v>
      </c>
      <c r="E2011" s="323" t="s">
        <v>12</v>
      </c>
    </row>
    <row r="2012" spans="1:5" ht="12" customHeight="1" hidden="1">
      <c r="A2012" s="25">
        <v>1</v>
      </c>
      <c r="B2012" s="25">
        <v>2</v>
      </c>
      <c r="C2012" s="25">
        <v>3</v>
      </c>
      <c r="D2012" s="25">
        <v>4</v>
      </c>
      <c r="E2012" s="377">
        <v>5</v>
      </c>
    </row>
    <row r="2013" spans="1:5" ht="15" customHeight="1" hidden="1">
      <c r="A2013" s="341" t="s">
        <v>13</v>
      </c>
      <c r="B2013" s="322" t="s">
        <v>254</v>
      </c>
      <c r="C2013" s="295"/>
      <c r="D2013" s="295"/>
      <c r="E2013" s="434"/>
    </row>
    <row r="2014" spans="1:7" ht="22.5" customHeight="1" hidden="1">
      <c r="A2014" s="451" t="s">
        <v>15</v>
      </c>
      <c r="B2014" s="450" t="s">
        <v>257</v>
      </c>
      <c r="C2014" s="362" t="s">
        <v>202</v>
      </c>
      <c r="D2014" s="452" t="s">
        <v>259</v>
      </c>
      <c r="E2014" s="488">
        <f>E2015+E2016</f>
        <v>5.7031791882248</v>
      </c>
      <c r="G2014" s="277"/>
    </row>
    <row r="2015" spans="1:5" ht="18" customHeight="1" hidden="1">
      <c r="A2015" s="515" t="s">
        <v>16</v>
      </c>
      <c r="B2015" s="518" t="s">
        <v>256</v>
      </c>
      <c r="C2015" s="362" t="s">
        <v>202</v>
      </c>
      <c r="D2015" s="454" t="s">
        <v>260</v>
      </c>
      <c r="E2015" s="489">
        <v>1.32</v>
      </c>
    </row>
    <row r="2016" spans="1:5" ht="17.25" customHeight="1" hidden="1">
      <c r="A2016" s="552" t="s">
        <v>17</v>
      </c>
      <c r="B2016" s="518" t="s">
        <v>255</v>
      </c>
      <c r="C2016" s="362" t="s">
        <v>202</v>
      </c>
      <c r="D2016" s="485" t="s">
        <v>319</v>
      </c>
      <c r="E2016" s="490">
        <f>0.08+((44951*E2022+226*E2030+106.1*E2026+509*E2034)/(44.84*1000))/10</f>
        <v>4.3831791882247995</v>
      </c>
    </row>
    <row r="2017" spans="1:5" ht="27.75" customHeight="1" hidden="1">
      <c r="A2017" s="552"/>
      <c r="B2017" s="363" t="s">
        <v>255</v>
      </c>
      <c r="C2017" s="494" t="s">
        <v>320</v>
      </c>
      <c r="D2017" s="364" t="s">
        <v>322</v>
      </c>
      <c r="E2017" s="435"/>
    </row>
    <row r="2018" spans="1:5" ht="15" customHeight="1" hidden="1">
      <c r="A2018" s="342" t="s">
        <v>21</v>
      </c>
      <c r="B2018" s="188" t="s">
        <v>261</v>
      </c>
      <c r="C2018" s="31"/>
      <c r="D2018" s="188"/>
      <c r="E2018" s="383"/>
    </row>
    <row r="2019" spans="1:5" ht="15" customHeight="1" hidden="1">
      <c r="A2019" s="47" t="s">
        <v>23</v>
      </c>
      <c r="B2019" s="360" t="s">
        <v>24</v>
      </c>
      <c r="C2019" s="49"/>
      <c r="D2019" s="49"/>
      <c r="E2019" s="384"/>
    </row>
    <row r="2020" spans="1:5" ht="15" customHeight="1" hidden="1">
      <c r="A2020" s="25" t="s">
        <v>25</v>
      </c>
      <c r="B2020" s="24" t="s">
        <v>26</v>
      </c>
      <c r="C2020" s="482" t="s">
        <v>238</v>
      </c>
      <c r="D2020" s="24"/>
      <c r="E2020" s="436">
        <v>27.51</v>
      </c>
    </row>
    <row r="2021" spans="1:5" ht="15" customHeight="1" hidden="1">
      <c r="A2021" s="25" t="s">
        <v>27</v>
      </c>
      <c r="B2021" s="24" t="s">
        <v>28</v>
      </c>
      <c r="C2021" s="470" t="s">
        <v>238</v>
      </c>
      <c r="D2021" s="24"/>
      <c r="E2021" s="437">
        <v>12.56</v>
      </c>
    </row>
    <row r="2022" spans="1:5" ht="15" customHeight="1" hidden="1">
      <c r="A2022" s="25" t="s">
        <v>29</v>
      </c>
      <c r="B2022" s="38" t="s">
        <v>30</v>
      </c>
      <c r="C2022" s="470" t="s">
        <v>238</v>
      </c>
      <c r="D2022" s="24"/>
      <c r="E2022" s="438">
        <f>E2020+E2021</f>
        <v>40.07</v>
      </c>
    </row>
    <row r="2023" spans="1:5" ht="15" customHeight="1" hidden="1">
      <c r="A2023" s="36" t="s">
        <v>31</v>
      </c>
      <c r="B2023" s="41" t="s">
        <v>177</v>
      </c>
      <c r="C2023" s="42"/>
      <c r="D2023" s="42"/>
      <c r="E2023" s="385"/>
    </row>
    <row r="2024" spans="1:5" ht="15" customHeight="1" hidden="1">
      <c r="A2024" s="25" t="s">
        <v>35</v>
      </c>
      <c r="B2024" s="24" t="s">
        <v>26</v>
      </c>
      <c r="C2024" s="471" t="s">
        <v>309</v>
      </c>
      <c r="D2024" s="24"/>
      <c r="E2024" s="386"/>
    </row>
    <row r="2025" spans="1:5" ht="15" customHeight="1" hidden="1">
      <c r="A2025" s="25" t="s">
        <v>36</v>
      </c>
      <c r="B2025" s="24" t="s">
        <v>28</v>
      </c>
      <c r="C2025" s="472" t="s">
        <v>309</v>
      </c>
      <c r="D2025" s="24"/>
      <c r="E2025" s="386"/>
    </row>
    <row r="2026" spans="1:5" ht="15" customHeight="1" hidden="1">
      <c r="A2026" s="25" t="s">
        <v>37</v>
      </c>
      <c r="B2026" s="24" t="s">
        <v>30</v>
      </c>
      <c r="C2026" s="472" t="s">
        <v>309</v>
      </c>
      <c r="D2026" s="24"/>
      <c r="E2026" s="438">
        <v>143.18</v>
      </c>
    </row>
    <row r="2027" spans="1:5" ht="15" customHeight="1" hidden="1">
      <c r="A2027" s="36" t="s">
        <v>34</v>
      </c>
      <c r="B2027" s="41" t="s">
        <v>178</v>
      </c>
      <c r="C2027" s="271"/>
      <c r="D2027" s="42"/>
      <c r="E2027" s="385"/>
    </row>
    <row r="2028" spans="1:5" ht="15" customHeight="1" hidden="1">
      <c r="A2028" s="25" t="s">
        <v>38</v>
      </c>
      <c r="B2028" s="24" t="s">
        <v>26</v>
      </c>
      <c r="C2028" s="472" t="s">
        <v>309</v>
      </c>
      <c r="D2028" s="24"/>
      <c r="E2028" s="386"/>
    </row>
    <row r="2029" spans="1:5" ht="15" customHeight="1" hidden="1">
      <c r="A2029" s="25" t="s">
        <v>39</v>
      </c>
      <c r="B2029" s="24" t="s">
        <v>28</v>
      </c>
      <c r="C2029" s="472" t="s">
        <v>309</v>
      </c>
      <c r="D2029" s="24"/>
      <c r="E2029" s="386"/>
    </row>
    <row r="2030" spans="1:5" ht="15" customHeight="1" hidden="1">
      <c r="A2030" s="25" t="s">
        <v>40</v>
      </c>
      <c r="B2030" s="24" t="s">
        <v>30</v>
      </c>
      <c r="C2030" s="472" t="s">
        <v>309</v>
      </c>
      <c r="D2030" s="24"/>
      <c r="E2030" s="438">
        <v>127.64</v>
      </c>
    </row>
    <row r="2031" spans="1:5" ht="15" customHeight="1" hidden="1">
      <c r="A2031" s="37" t="s">
        <v>262</v>
      </c>
      <c r="B2031" s="45" t="s">
        <v>103</v>
      </c>
      <c r="C2031" s="46"/>
      <c r="D2031" s="46"/>
      <c r="E2031" s="387"/>
    </row>
    <row r="2032" spans="1:5" ht="15" customHeight="1" hidden="1">
      <c r="A2032" s="29" t="s">
        <v>263</v>
      </c>
      <c r="B2032" s="44" t="s">
        <v>26</v>
      </c>
      <c r="C2032" s="472" t="s">
        <v>309</v>
      </c>
      <c r="D2032" s="24"/>
      <c r="E2032" s="386">
        <v>151.41</v>
      </c>
    </row>
    <row r="2033" spans="1:5" ht="15" customHeight="1" hidden="1">
      <c r="A2033" s="29" t="s">
        <v>264</v>
      </c>
      <c r="B2033" s="24" t="s">
        <v>28</v>
      </c>
      <c r="C2033" s="472" t="s">
        <v>309</v>
      </c>
      <c r="D2033" s="24"/>
      <c r="E2033" s="378">
        <v>14.25</v>
      </c>
    </row>
    <row r="2034" spans="1:5" ht="15" customHeight="1" hidden="1">
      <c r="A2034" s="343" t="s">
        <v>265</v>
      </c>
      <c r="B2034" s="38" t="s">
        <v>30</v>
      </c>
      <c r="C2034" s="472" t="s">
        <v>309</v>
      </c>
      <c r="D2034" s="24"/>
      <c r="E2034" s="438">
        <f>+E2032+E2033</f>
        <v>165.66</v>
      </c>
    </row>
    <row r="2035" spans="1:5" ht="15" customHeight="1" hidden="1">
      <c r="A2035" s="344" t="s">
        <v>42</v>
      </c>
      <c r="B2035" s="325" t="s">
        <v>266</v>
      </c>
      <c r="C2035" s="52"/>
      <c r="D2035" s="52"/>
      <c r="E2035" s="388"/>
    </row>
    <row r="2036" spans="1:5" ht="15" customHeight="1" hidden="1">
      <c r="A2036" s="25" t="s">
        <v>44</v>
      </c>
      <c r="B2036" s="24" t="s">
        <v>267</v>
      </c>
      <c r="C2036" s="24"/>
      <c r="D2036" s="24"/>
      <c r="E2036" s="377" t="s">
        <v>106</v>
      </c>
    </row>
    <row r="2037" spans="1:5" ht="15" customHeight="1" hidden="1">
      <c r="A2037" s="25" t="s">
        <v>45</v>
      </c>
      <c r="B2037" s="24" t="s">
        <v>268</v>
      </c>
      <c r="C2037" s="362" t="s">
        <v>202</v>
      </c>
      <c r="D2037" s="24"/>
      <c r="E2037" s="378">
        <v>0</v>
      </c>
    </row>
    <row r="2038" spans="1:5" ht="24" customHeight="1" hidden="1">
      <c r="A2038" s="345" t="s">
        <v>46</v>
      </c>
      <c r="B2038" s="357" t="s">
        <v>269</v>
      </c>
      <c r="C2038" s="362" t="s">
        <v>202</v>
      </c>
      <c r="D2038" s="349" t="s">
        <v>297</v>
      </c>
      <c r="E2038" s="491">
        <f>E2039+E2040</f>
        <v>5.7031791882248</v>
      </c>
    </row>
    <row r="2039" spans="1:5" ht="17.25" customHeight="1" hidden="1">
      <c r="A2039" s="25" t="s">
        <v>48</v>
      </c>
      <c r="B2039" s="24" t="s">
        <v>49</v>
      </c>
      <c r="C2039" s="362" t="s">
        <v>202</v>
      </c>
      <c r="D2039" s="454" t="s">
        <v>298</v>
      </c>
      <c r="E2039" s="386">
        <f>E2015</f>
        <v>1.32</v>
      </c>
    </row>
    <row r="2040" spans="1:5" ht="18" customHeight="1" hidden="1">
      <c r="A2040" s="553" t="s">
        <v>50</v>
      </c>
      <c r="B2040" s="326" t="s">
        <v>51</v>
      </c>
      <c r="C2040" s="365" t="s">
        <v>202</v>
      </c>
      <c r="D2040" s="454" t="s">
        <v>299</v>
      </c>
      <c r="E2040" s="390">
        <f>E2016</f>
        <v>4.3831791882247995</v>
      </c>
    </row>
    <row r="2041" spans="1:5" ht="27" customHeight="1" hidden="1">
      <c r="A2041" s="554"/>
      <c r="B2041" s="363" t="s">
        <v>51</v>
      </c>
      <c r="C2041" s="366" t="s">
        <v>320</v>
      </c>
      <c r="D2041" s="364" t="s">
        <v>322</v>
      </c>
      <c r="E2041" s="439"/>
    </row>
    <row r="2042" spans="1:5" ht="15" customHeight="1" hidden="1">
      <c r="A2042" s="25" t="s">
        <v>52</v>
      </c>
      <c r="B2042" s="346" t="s">
        <v>270</v>
      </c>
      <c r="C2042" s="33"/>
      <c r="D2042" s="33"/>
      <c r="E2042" s="383"/>
    </row>
    <row r="2043" spans="1:5" ht="15" customHeight="1" hidden="1">
      <c r="A2043" s="25" t="s">
        <v>54</v>
      </c>
      <c r="B2043" s="24" t="s">
        <v>271</v>
      </c>
      <c r="C2043" s="11" t="s">
        <v>272</v>
      </c>
      <c r="D2043" s="351" t="s">
        <v>300</v>
      </c>
      <c r="E2043" s="378">
        <v>9.66</v>
      </c>
    </row>
    <row r="2044" spans="1:7" ht="15" customHeight="1" hidden="1">
      <c r="A2044" s="25" t="s">
        <v>57</v>
      </c>
      <c r="B2044" s="24" t="s">
        <v>58</v>
      </c>
      <c r="C2044" s="362" t="s">
        <v>202</v>
      </c>
      <c r="D2044" s="352" t="s">
        <v>299</v>
      </c>
      <c r="E2044" s="386">
        <f>E2040</f>
        <v>4.3831791882247995</v>
      </c>
      <c r="G2044" s="276"/>
    </row>
    <row r="2045" spans="1:5" ht="15" customHeight="1" hidden="1">
      <c r="A2045" s="34" t="s">
        <v>60</v>
      </c>
      <c r="B2045" s="358" t="s">
        <v>61</v>
      </c>
      <c r="C2045" s="356"/>
      <c r="D2045" s="356"/>
      <c r="E2045" s="440"/>
    </row>
    <row r="2046" spans="1:5" ht="17.25" customHeight="1" hidden="1">
      <c r="A2046" s="456" t="s">
        <v>62</v>
      </c>
      <c r="B2046" s="455" t="s">
        <v>273</v>
      </c>
      <c r="C2046" s="362" t="s">
        <v>202</v>
      </c>
      <c r="D2046" s="454" t="s">
        <v>301</v>
      </c>
      <c r="E2046" s="492">
        <f>E2047+E2048</f>
        <v>1.9281653543283923</v>
      </c>
    </row>
    <row r="2047" spans="1:5" ht="17.25" customHeight="1" hidden="1">
      <c r="A2047" s="27" t="s">
        <v>63</v>
      </c>
      <c r="B2047" s="496" t="s">
        <v>64</v>
      </c>
      <c r="C2047" s="362" t="s">
        <v>202</v>
      </c>
      <c r="D2047" s="454" t="s">
        <v>302</v>
      </c>
      <c r="E2047" s="383">
        <v>0.71</v>
      </c>
    </row>
    <row r="2048" spans="1:5" ht="18.75" customHeight="1" hidden="1">
      <c r="A2048" s="555" t="s">
        <v>65</v>
      </c>
      <c r="B2048" s="457" t="s">
        <v>66</v>
      </c>
      <c r="C2048" s="362" t="s">
        <v>202</v>
      </c>
      <c r="D2048" s="484" t="s">
        <v>318</v>
      </c>
      <c r="E2048" s="368">
        <f>0.12+(7.24*E2014/37.6)</f>
        <v>1.2181653543283923</v>
      </c>
    </row>
    <row r="2049" spans="1:5" ht="15.75" customHeight="1" hidden="1">
      <c r="A2049" s="556"/>
      <c r="B2049" s="473" t="s">
        <v>66</v>
      </c>
      <c r="C2049" s="367" t="s">
        <v>258</v>
      </c>
      <c r="D2049" s="495" t="s">
        <v>323</v>
      </c>
      <c r="E2049" s="441"/>
    </row>
    <row r="2050" spans="1:5" ht="15" customHeight="1" hidden="1">
      <c r="A2050" s="324" t="s">
        <v>67</v>
      </c>
      <c r="B2050" s="327" t="s">
        <v>274</v>
      </c>
      <c r="C2050" s="9"/>
      <c r="D2050" s="24"/>
      <c r="E2050" s="378"/>
    </row>
    <row r="2051" spans="1:5" ht="15" customHeight="1" hidden="1">
      <c r="A2051" s="324" t="s">
        <v>69</v>
      </c>
      <c r="B2051" s="327" t="s">
        <v>271</v>
      </c>
      <c r="C2051" s="369" t="s">
        <v>272</v>
      </c>
      <c r="D2051" s="351" t="s">
        <v>303</v>
      </c>
      <c r="E2051" s="386">
        <v>4.66</v>
      </c>
    </row>
    <row r="2052" spans="1:5" ht="15" customHeight="1" hidden="1">
      <c r="A2052" s="324" t="s">
        <v>70</v>
      </c>
      <c r="B2052" s="327" t="s">
        <v>275</v>
      </c>
      <c r="C2052" s="362" t="s">
        <v>202</v>
      </c>
      <c r="D2052" s="352" t="s">
        <v>304</v>
      </c>
      <c r="E2052" s="386">
        <f>E2048</f>
        <v>1.2181653543283923</v>
      </c>
    </row>
    <row r="2053" spans="1:5" ht="15" customHeight="1" hidden="1">
      <c r="A2053" s="81" t="s">
        <v>72</v>
      </c>
      <c r="B2053" s="358" t="s">
        <v>276</v>
      </c>
      <c r="C2053" s="370"/>
      <c r="D2053" s="356"/>
      <c r="E2053" s="440"/>
    </row>
    <row r="2054" spans="1:5" ht="15" customHeight="1" hidden="1">
      <c r="A2054" s="328" t="s">
        <v>79</v>
      </c>
      <c r="B2054" s="327" t="s">
        <v>277</v>
      </c>
      <c r="C2054" s="362" t="s">
        <v>202</v>
      </c>
      <c r="D2054" s="351" t="s">
        <v>280</v>
      </c>
      <c r="E2054" s="493">
        <v>0.09</v>
      </c>
    </row>
    <row r="2055" spans="1:5" ht="17.25" customHeight="1" hidden="1">
      <c r="A2055" s="328" t="s">
        <v>278</v>
      </c>
      <c r="B2055" s="480" t="s">
        <v>310</v>
      </c>
      <c r="C2055" s="481" t="s">
        <v>311</v>
      </c>
      <c r="D2055" s="475" t="s">
        <v>313</v>
      </c>
      <c r="E2055" s="315">
        <v>13.42</v>
      </c>
    </row>
    <row r="2056" spans="1:5" ht="18" customHeight="1" hidden="1">
      <c r="A2056" s="328" t="s">
        <v>279</v>
      </c>
      <c r="B2056" s="480" t="s">
        <v>312</v>
      </c>
      <c r="C2056" s="481" t="s">
        <v>311</v>
      </c>
      <c r="D2056" s="474" t="s">
        <v>314</v>
      </c>
      <c r="E2056" s="315">
        <v>0.68</v>
      </c>
    </row>
    <row r="2057" spans="1:5" ht="27.75" customHeight="1" hidden="1">
      <c r="A2057" s="347" t="s">
        <v>115</v>
      </c>
      <c r="B2057" s="476" t="s">
        <v>281</v>
      </c>
      <c r="C2057" s="477"/>
      <c r="D2057" s="478"/>
      <c r="E2057" s="477"/>
    </row>
    <row r="2058" spans="1:5" ht="15" customHeight="1" hidden="1">
      <c r="A2058" s="348" t="s">
        <v>80</v>
      </c>
      <c r="B2058" s="331" t="s">
        <v>81</v>
      </c>
      <c r="C2058" s="362" t="s">
        <v>202</v>
      </c>
      <c r="D2058" s="479"/>
      <c r="E2058" s="493"/>
    </row>
    <row r="2059" spans="1:5" ht="15" customHeight="1" hidden="1">
      <c r="A2059" s="348" t="s">
        <v>82</v>
      </c>
      <c r="B2059" s="331" t="s">
        <v>83</v>
      </c>
      <c r="C2059" s="362" t="s">
        <v>202</v>
      </c>
      <c r="D2059" s="479"/>
      <c r="E2059" s="493"/>
    </row>
    <row r="2060" spans="1:5" ht="26.25" customHeight="1" hidden="1">
      <c r="A2060" s="459" t="s">
        <v>84</v>
      </c>
      <c r="B2060" s="458" t="s">
        <v>282</v>
      </c>
      <c r="C2060" s="362" t="s">
        <v>202</v>
      </c>
      <c r="D2060" s="315"/>
      <c r="E2060" s="443">
        <f>ROUND(E2038+E2046+E2054+E2058+E2059,2)</f>
        <v>7.72</v>
      </c>
    </row>
    <row r="2061" spans="1:5" ht="15" customHeight="1" hidden="1">
      <c r="A2061" s="216" t="s">
        <v>85</v>
      </c>
      <c r="B2061" s="372" t="s">
        <v>86</v>
      </c>
      <c r="C2061" s="362" t="s">
        <v>283</v>
      </c>
      <c r="D2061" s="315"/>
      <c r="E2061" s="315">
        <v>0</v>
      </c>
    </row>
    <row r="2062" spans="1:5" ht="15" customHeight="1" hidden="1">
      <c r="A2062" s="544" t="s">
        <v>87</v>
      </c>
      <c r="B2062" s="546" t="s">
        <v>88</v>
      </c>
      <c r="C2062" s="362" t="s">
        <v>202</v>
      </c>
      <c r="D2062" s="353"/>
      <c r="E2062" s="394">
        <f>E2060</f>
        <v>7.72</v>
      </c>
    </row>
    <row r="2063" spans="1:5" ht="15" customHeight="1" hidden="1">
      <c r="A2063" s="545"/>
      <c r="B2063" s="547"/>
      <c r="C2063" s="361" t="s">
        <v>59</v>
      </c>
      <c r="D2063" s="353"/>
      <c r="E2063" s="442">
        <v>26.65</v>
      </c>
    </row>
    <row r="2064" spans="1:5" ht="15" customHeight="1" hidden="1">
      <c r="A2064" s="548" t="s">
        <v>89</v>
      </c>
      <c r="B2064" s="546" t="s">
        <v>90</v>
      </c>
      <c r="C2064" s="362" t="s">
        <v>202</v>
      </c>
      <c r="D2064" s="353"/>
      <c r="E2064" s="392">
        <f>E2062*1.09</f>
        <v>8.4148</v>
      </c>
    </row>
    <row r="2065" spans="1:5" ht="15" customHeight="1" hidden="1">
      <c r="A2065" s="549"/>
      <c r="B2065" s="547"/>
      <c r="C2065" s="361" t="s">
        <v>59</v>
      </c>
      <c r="D2065" s="353"/>
      <c r="E2065" s="442">
        <v>29.05</v>
      </c>
    </row>
    <row r="2066" spans="1:5" ht="15" customHeight="1" hidden="1">
      <c r="A2066" s="548" t="s">
        <v>91</v>
      </c>
      <c r="B2066" s="546" t="s">
        <v>92</v>
      </c>
      <c r="C2066" s="362" t="s">
        <v>202</v>
      </c>
      <c r="D2066" s="353"/>
      <c r="E2066" s="522">
        <v>8.03</v>
      </c>
    </row>
    <row r="2067" spans="1:5" ht="15" customHeight="1" hidden="1">
      <c r="A2067" s="549"/>
      <c r="B2067" s="547"/>
      <c r="C2067" s="361" t="s">
        <v>59</v>
      </c>
      <c r="D2067" s="353"/>
      <c r="E2067" s="442">
        <v>27.72</v>
      </c>
    </row>
    <row r="2068" spans="1:5" ht="15" customHeight="1" hidden="1">
      <c r="A2068" s="329" t="s">
        <v>93</v>
      </c>
      <c r="B2068" s="330" t="s">
        <v>284</v>
      </c>
      <c r="C2068" s="371" t="s">
        <v>95</v>
      </c>
      <c r="D2068" s="353"/>
      <c r="E2068" s="522">
        <f>(E2060/E2066)*100-100</f>
        <v>-3.8605230386052227</v>
      </c>
    </row>
    <row r="2069" spans="1:5" ht="15" customHeight="1" hidden="1">
      <c r="A2069" s="348" t="s">
        <v>96</v>
      </c>
      <c r="B2069" s="331" t="s">
        <v>97</v>
      </c>
      <c r="C2069" s="85" t="s">
        <v>285</v>
      </c>
      <c r="D2069" s="354"/>
      <c r="E2069" s="520">
        <v>3338.536</v>
      </c>
    </row>
    <row r="2070" spans="1:5" ht="15" customHeight="1" hidden="1">
      <c r="A2070" s="348" t="s">
        <v>99</v>
      </c>
      <c r="B2070" s="331" t="s">
        <v>286</v>
      </c>
      <c r="C2070" s="85" t="s">
        <v>285</v>
      </c>
      <c r="D2070" s="315"/>
      <c r="E2070" s="520">
        <v>3338.536</v>
      </c>
    </row>
    <row r="2071" spans="1:5" ht="15" customHeight="1" hidden="1">
      <c r="A2071" s="332" t="s">
        <v>101</v>
      </c>
      <c r="B2071" s="331" t="s">
        <v>287</v>
      </c>
      <c r="C2071" s="85" t="s">
        <v>285</v>
      </c>
      <c r="D2071" s="355"/>
      <c r="E2071" s="521">
        <v>2981.624</v>
      </c>
    </row>
    <row r="2072" spans="1:5" ht="15" customHeight="1" hidden="1">
      <c r="A2072" s="332">
        <v>14</v>
      </c>
      <c r="B2072" s="331" t="s">
        <v>288</v>
      </c>
      <c r="C2072" s="80" t="s">
        <v>285</v>
      </c>
      <c r="D2072" s="315"/>
      <c r="E2072" s="315">
        <v>0</v>
      </c>
    </row>
    <row r="2073" ht="15" hidden="1">
      <c r="B2073" s="497" t="s">
        <v>321</v>
      </c>
    </row>
    <row r="2074" ht="15" hidden="1"/>
    <row r="2075" spans="2:4" ht="15" hidden="1">
      <c r="B2075" t="s">
        <v>144</v>
      </c>
      <c r="C2075" t="s">
        <v>148</v>
      </c>
      <c r="D2075" s="101" t="s">
        <v>145</v>
      </c>
    </row>
    <row r="2076" ht="15" hidden="1">
      <c r="C2076" s="108" t="s">
        <v>149</v>
      </c>
    </row>
    <row r="2077" ht="15" hidden="1"/>
    <row r="2078" spans="4:7" s="316" customFormat="1" ht="12.75" customHeight="1">
      <c r="D2078" s="446" t="s">
        <v>242</v>
      </c>
      <c r="E2078" s="446"/>
      <c r="F2078" s="340"/>
      <c r="G2078" s="317"/>
    </row>
    <row r="2079" spans="4:7" s="316" customFormat="1" ht="12.75" customHeight="1">
      <c r="D2079" s="550" t="s">
        <v>243</v>
      </c>
      <c r="E2079" s="550"/>
      <c r="F2079" s="333"/>
      <c r="G2079" s="317"/>
    </row>
    <row r="2080" spans="4:7" s="316" customFormat="1" ht="12.75" customHeight="1">
      <c r="D2080" s="550" t="s">
        <v>244</v>
      </c>
      <c r="E2080" s="550"/>
      <c r="F2080" s="333"/>
      <c r="G2080" s="317"/>
    </row>
    <row r="2081" spans="4:6" s="316" customFormat="1" ht="12.75" customHeight="1">
      <c r="D2081" s="527" t="s">
        <v>253</v>
      </c>
      <c r="E2081" s="374"/>
      <c r="F2081" s="334"/>
    </row>
    <row r="2082" s="316" customFormat="1" ht="6.75" customHeight="1"/>
    <row r="2083" spans="1:6" s="316" customFormat="1" ht="13.5" customHeight="1">
      <c r="A2083" s="335"/>
      <c r="B2083" s="319" t="s">
        <v>245</v>
      </c>
      <c r="C2083" s="318"/>
      <c r="D2083" s="319" t="s">
        <v>246</v>
      </c>
      <c r="E2083" s="338"/>
      <c r="F2083" s="338"/>
    </row>
    <row r="2084" spans="1:6" s="316" customFormat="1" ht="13.5" customHeight="1">
      <c r="A2084" s="335"/>
      <c r="B2084" s="318" t="s">
        <v>247</v>
      </c>
      <c r="C2084" s="318"/>
      <c r="D2084" s="319" t="s">
        <v>248</v>
      </c>
      <c r="E2084" s="338"/>
      <c r="F2084" s="338"/>
    </row>
    <row r="2085" spans="1:6" s="316" customFormat="1" ht="13.5" customHeight="1">
      <c r="A2085" s="335"/>
      <c r="B2085" s="319" t="s">
        <v>289</v>
      </c>
      <c r="C2085" s="320"/>
      <c r="D2085" s="319" t="s">
        <v>249</v>
      </c>
      <c r="E2085" s="338"/>
      <c r="F2085" s="338"/>
    </row>
    <row r="2086" spans="1:6" s="316" customFormat="1" ht="13.5" customHeight="1">
      <c r="A2086" s="335"/>
      <c r="B2086" s="319" t="s">
        <v>290</v>
      </c>
      <c r="C2086" s="318"/>
      <c r="D2086" s="319" t="s">
        <v>295</v>
      </c>
      <c r="E2086" s="338"/>
      <c r="F2086" s="338"/>
    </row>
    <row r="2087" spans="1:6" s="316" customFormat="1" ht="13.5" customHeight="1">
      <c r="A2087" s="335"/>
      <c r="B2087" s="319" t="s">
        <v>291</v>
      </c>
      <c r="C2087" s="318"/>
      <c r="D2087" s="319" t="s">
        <v>292</v>
      </c>
      <c r="E2087" s="338"/>
      <c r="F2087" s="338"/>
    </row>
    <row r="2088" spans="1:6" s="316" customFormat="1" ht="13.5" customHeight="1">
      <c r="A2088" s="335"/>
      <c r="B2088" s="319" t="s">
        <v>292</v>
      </c>
      <c r="C2088" s="318"/>
      <c r="D2088" s="319" t="s">
        <v>296</v>
      </c>
      <c r="E2088" s="339"/>
      <c r="F2088" s="339"/>
    </row>
    <row r="2089" spans="1:6" s="316" customFormat="1" ht="13.5" customHeight="1">
      <c r="A2089" s="335"/>
      <c r="B2089" s="319" t="s">
        <v>293</v>
      </c>
      <c r="C2089" s="321"/>
      <c r="D2089" s="319"/>
      <c r="E2089" s="338"/>
      <c r="F2089" s="338"/>
    </row>
    <row r="2090" spans="1:6" s="316" customFormat="1" ht="13.5" customHeight="1">
      <c r="A2090" s="335"/>
      <c r="B2090" s="319" t="s">
        <v>294</v>
      </c>
      <c r="C2090" s="321"/>
      <c r="D2090" s="319"/>
      <c r="E2090" s="338"/>
      <c r="F2090" s="338"/>
    </row>
    <row r="2091" spans="1:5" ht="15">
      <c r="A2091" s="107"/>
      <c r="B2091" s="87"/>
      <c r="C2091" s="87"/>
      <c r="D2091" s="87"/>
      <c r="E2091" s="373"/>
    </row>
    <row r="2092" spans="1:4" ht="15.75">
      <c r="A2092" s="96" t="s">
        <v>206</v>
      </c>
      <c r="B2092" s="96" t="s">
        <v>336</v>
      </c>
      <c r="C2092" s="2"/>
      <c r="D2092" s="2"/>
    </row>
    <row r="2093" spans="1:4" ht="15.75">
      <c r="A2093" s="96"/>
      <c r="B2093" s="96"/>
      <c r="C2093" s="483" t="s">
        <v>340</v>
      </c>
      <c r="D2093" s="2"/>
    </row>
    <row r="2094" spans="1:4" ht="12" customHeight="1">
      <c r="A2094" s="96"/>
      <c r="B2094" s="96"/>
      <c r="C2094" s="359" t="s">
        <v>146</v>
      </c>
      <c r="D2094" s="2"/>
    </row>
    <row r="2095" spans="1:4" ht="6.75" customHeight="1">
      <c r="A2095" s="96"/>
      <c r="B2095" s="96"/>
      <c r="C2095" s="359"/>
      <c r="D2095" s="2"/>
    </row>
    <row r="2096" spans="1:5" ht="15">
      <c r="A2096" s="337" t="s">
        <v>6</v>
      </c>
      <c r="B2096" s="2"/>
      <c r="C2096" s="2"/>
      <c r="D2096" s="2"/>
      <c r="E2096" s="376"/>
    </row>
    <row r="2097" spans="1:5" ht="15">
      <c r="A2097" s="336" t="s">
        <v>250</v>
      </c>
      <c r="B2097" s="1"/>
      <c r="C2097" s="1"/>
      <c r="D2097" s="1"/>
      <c r="E2097" s="316"/>
    </row>
    <row r="2098" spans="1:5" ht="14.25" customHeight="1">
      <c r="A2098" s="336"/>
      <c r="B2098" s="1"/>
      <c r="C2098" s="1"/>
      <c r="D2098" s="1"/>
      <c r="E2098" s="316"/>
    </row>
    <row r="2099" spans="1:5" ht="15">
      <c r="A2099" s="87" t="s">
        <v>7</v>
      </c>
      <c r="B2099" s="1"/>
      <c r="C2099" s="1"/>
      <c r="D2099" s="1"/>
      <c r="E2099" s="316"/>
    </row>
    <row r="2100" spans="1:5" ht="33" customHeight="1">
      <c r="A2100" s="551" t="s">
        <v>315</v>
      </c>
      <c r="B2100" s="551"/>
      <c r="C2100" s="551"/>
      <c r="D2100" s="551"/>
      <c r="E2100" s="551"/>
    </row>
    <row r="2101" spans="1:5" ht="15">
      <c r="A2101" s="323" t="s">
        <v>8</v>
      </c>
      <c r="B2101" s="323" t="s">
        <v>9</v>
      </c>
      <c r="C2101" s="323" t="s">
        <v>10</v>
      </c>
      <c r="D2101" s="323" t="s">
        <v>11</v>
      </c>
      <c r="E2101" s="323" t="s">
        <v>12</v>
      </c>
    </row>
    <row r="2102" spans="1:5" ht="12" customHeight="1">
      <c r="A2102" s="25">
        <v>1</v>
      </c>
      <c r="B2102" s="25">
        <v>2</v>
      </c>
      <c r="C2102" s="25">
        <v>3</v>
      </c>
      <c r="D2102" s="25">
        <v>4</v>
      </c>
      <c r="E2102" s="377">
        <v>5</v>
      </c>
    </row>
    <row r="2103" spans="1:5" ht="15" customHeight="1">
      <c r="A2103" s="341" t="s">
        <v>13</v>
      </c>
      <c r="B2103" s="322" t="s">
        <v>254</v>
      </c>
      <c r="C2103" s="295"/>
      <c r="D2103" s="295"/>
      <c r="E2103" s="434"/>
    </row>
    <row r="2104" spans="1:7" ht="22.5" customHeight="1">
      <c r="A2104" s="451" t="s">
        <v>15</v>
      </c>
      <c r="B2104" s="450" t="s">
        <v>257</v>
      </c>
      <c r="C2104" s="362" t="s">
        <v>202</v>
      </c>
      <c r="D2104" s="452" t="s">
        <v>259</v>
      </c>
      <c r="E2104" s="488">
        <f>E2105+E2106</f>
        <v>6.0200000000000005</v>
      </c>
      <c r="G2104" s="277"/>
    </row>
    <row r="2105" spans="1:5" ht="18" customHeight="1">
      <c r="A2105" s="528" t="s">
        <v>16</v>
      </c>
      <c r="B2105" s="533" t="s">
        <v>256</v>
      </c>
      <c r="C2105" s="362" t="s">
        <v>202</v>
      </c>
      <c r="D2105" s="454" t="s">
        <v>260</v>
      </c>
      <c r="E2105" s="489">
        <v>1.32</v>
      </c>
    </row>
    <row r="2106" spans="1:5" ht="17.25" customHeight="1">
      <c r="A2106" s="552" t="s">
        <v>17</v>
      </c>
      <c r="B2106" s="533" t="s">
        <v>255</v>
      </c>
      <c r="C2106" s="362" t="s">
        <v>202</v>
      </c>
      <c r="D2106" s="485" t="s">
        <v>319</v>
      </c>
      <c r="E2106" s="490">
        <f>ROUND(0.08+((44951*E2112+226*E2120+106.1*E2116+509*E2124)/(44.84*1000))/10,2)</f>
        <v>4.7</v>
      </c>
    </row>
    <row r="2107" spans="1:5" ht="27.75" customHeight="1">
      <c r="A2107" s="552"/>
      <c r="B2107" s="363" t="s">
        <v>255</v>
      </c>
      <c r="C2107" s="494" t="s">
        <v>320</v>
      </c>
      <c r="D2107" s="364" t="s">
        <v>322</v>
      </c>
      <c r="E2107" s="435"/>
    </row>
    <row r="2108" spans="1:5" ht="15" customHeight="1">
      <c r="A2108" s="342" t="s">
        <v>21</v>
      </c>
      <c r="B2108" s="188" t="s">
        <v>261</v>
      </c>
      <c r="C2108" s="31"/>
      <c r="D2108" s="188"/>
      <c r="E2108" s="383"/>
    </row>
    <row r="2109" spans="1:5" ht="15" customHeight="1">
      <c r="A2109" s="47" t="s">
        <v>23</v>
      </c>
      <c r="B2109" s="360" t="s">
        <v>24</v>
      </c>
      <c r="C2109" s="49"/>
      <c r="D2109" s="49"/>
      <c r="E2109" s="384"/>
    </row>
    <row r="2110" spans="1:5" ht="15" customHeight="1">
      <c r="A2110" s="25" t="s">
        <v>25</v>
      </c>
      <c r="B2110" s="24" t="s">
        <v>26</v>
      </c>
      <c r="C2110" s="482" t="s">
        <v>238</v>
      </c>
      <c r="D2110" s="24"/>
      <c r="E2110" s="436">
        <v>30.83</v>
      </c>
    </row>
    <row r="2111" spans="1:5" ht="15" customHeight="1">
      <c r="A2111" s="25" t="s">
        <v>27</v>
      </c>
      <c r="B2111" s="24" t="s">
        <v>28</v>
      </c>
      <c r="C2111" s="470" t="s">
        <v>238</v>
      </c>
      <c r="D2111" s="24"/>
      <c r="E2111" s="437">
        <v>12.56</v>
      </c>
    </row>
    <row r="2112" spans="1:5" ht="15" customHeight="1">
      <c r="A2112" s="25" t="s">
        <v>29</v>
      </c>
      <c r="B2112" s="38" t="s">
        <v>30</v>
      </c>
      <c r="C2112" s="470" t="s">
        <v>238</v>
      </c>
      <c r="D2112" s="24"/>
      <c r="E2112" s="438">
        <f>E2110+E2111</f>
        <v>43.39</v>
      </c>
    </row>
    <row r="2113" spans="1:5" ht="15" customHeight="1">
      <c r="A2113" s="36" t="s">
        <v>31</v>
      </c>
      <c r="B2113" s="41" t="s">
        <v>177</v>
      </c>
      <c r="C2113" s="42"/>
      <c r="D2113" s="42"/>
      <c r="E2113" s="385"/>
    </row>
    <row r="2114" spans="1:5" ht="15" customHeight="1">
      <c r="A2114" s="25" t="s">
        <v>35</v>
      </c>
      <c r="B2114" s="24" t="s">
        <v>26</v>
      </c>
      <c r="C2114" s="471" t="s">
        <v>309</v>
      </c>
      <c r="D2114" s="24"/>
      <c r="E2114" s="386"/>
    </row>
    <row r="2115" spans="1:5" ht="15" customHeight="1">
      <c r="A2115" s="25" t="s">
        <v>36</v>
      </c>
      <c r="B2115" s="24" t="s">
        <v>28</v>
      </c>
      <c r="C2115" s="472" t="s">
        <v>309</v>
      </c>
      <c r="D2115" s="24"/>
      <c r="E2115" s="386"/>
    </row>
    <row r="2116" spans="1:5" ht="15" customHeight="1">
      <c r="A2116" s="25" t="s">
        <v>37</v>
      </c>
      <c r="B2116" s="24" t="s">
        <v>30</v>
      </c>
      <c r="C2116" s="472" t="s">
        <v>309</v>
      </c>
      <c r="D2116" s="24"/>
      <c r="E2116" s="438">
        <v>111.51</v>
      </c>
    </row>
    <row r="2117" spans="1:5" ht="15" customHeight="1">
      <c r="A2117" s="36" t="s">
        <v>34</v>
      </c>
      <c r="B2117" s="41" t="s">
        <v>178</v>
      </c>
      <c r="C2117" s="271"/>
      <c r="D2117" s="42"/>
      <c r="E2117" s="385"/>
    </row>
    <row r="2118" spans="1:5" ht="15" customHeight="1">
      <c r="A2118" s="25" t="s">
        <v>38</v>
      </c>
      <c r="B2118" s="24" t="s">
        <v>26</v>
      </c>
      <c r="C2118" s="472" t="s">
        <v>309</v>
      </c>
      <c r="D2118" s="24"/>
      <c r="E2118" s="386">
        <v>97.76</v>
      </c>
    </row>
    <row r="2119" spans="1:5" ht="15" customHeight="1">
      <c r="A2119" s="25" t="s">
        <v>39</v>
      </c>
      <c r="B2119" s="24" t="s">
        <v>28</v>
      </c>
      <c r="C2119" s="472" t="s">
        <v>309</v>
      </c>
      <c r="D2119" s="24"/>
      <c r="E2119" s="386">
        <v>4.16</v>
      </c>
    </row>
    <row r="2120" spans="1:5" ht="15" customHeight="1">
      <c r="A2120" s="25" t="s">
        <v>40</v>
      </c>
      <c r="B2120" s="24" t="s">
        <v>30</v>
      </c>
      <c r="C2120" s="472" t="s">
        <v>309</v>
      </c>
      <c r="D2120" s="24"/>
      <c r="E2120" s="438">
        <f>+E2118+E2119</f>
        <v>101.92</v>
      </c>
    </row>
    <row r="2121" spans="1:5" ht="15" customHeight="1">
      <c r="A2121" s="37" t="s">
        <v>262</v>
      </c>
      <c r="B2121" s="45" t="s">
        <v>103</v>
      </c>
      <c r="C2121" s="46"/>
      <c r="D2121" s="46"/>
      <c r="E2121" s="387"/>
    </row>
    <row r="2122" spans="1:5" ht="15" customHeight="1">
      <c r="A2122" s="29" t="s">
        <v>263</v>
      </c>
      <c r="B2122" s="44" t="s">
        <v>26</v>
      </c>
      <c r="C2122" s="472" t="s">
        <v>309</v>
      </c>
      <c r="D2122" s="24"/>
      <c r="E2122" s="386">
        <v>151.41</v>
      </c>
    </row>
    <row r="2123" spans="1:5" ht="15" customHeight="1">
      <c r="A2123" s="29" t="s">
        <v>264</v>
      </c>
      <c r="B2123" s="24" t="s">
        <v>28</v>
      </c>
      <c r="C2123" s="472" t="s">
        <v>309</v>
      </c>
      <c r="D2123" s="24"/>
      <c r="E2123" s="378">
        <v>14.25</v>
      </c>
    </row>
    <row r="2124" spans="1:5" ht="15" customHeight="1">
      <c r="A2124" s="343" t="s">
        <v>265</v>
      </c>
      <c r="B2124" s="38" t="s">
        <v>30</v>
      </c>
      <c r="C2124" s="472" t="s">
        <v>309</v>
      </c>
      <c r="D2124" s="24"/>
      <c r="E2124" s="438">
        <f>+E2122+E2123</f>
        <v>165.66</v>
      </c>
    </row>
    <row r="2125" spans="1:5" ht="15" customHeight="1">
      <c r="A2125" s="344" t="s">
        <v>42</v>
      </c>
      <c r="B2125" s="325" t="s">
        <v>266</v>
      </c>
      <c r="C2125" s="52"/>
      <c r="D2125" s="52"/>
      <c r="E2125" s="388"/>
    </row>
    <row r="2126" spans="1:5" ht="15" customHeight="1">
      <c r="A2126" s="25" t="s">
        <v>44</v>
      </c>
      <c r="B2126" s="24" t="s">
        <v>267</v>
      </c>
      <c r="C2126" s="24"/>
      <c r="D2126" s="24"/>
      <c r="E2126" s="377" t="s">
        <v>106</v>
      </c>
    </row>
    <row r="2127" spans="1:5" ht="15" customHeight="1">
      <c r="A2127" s="25" t="s">
        <v>45</v>
      </c>
      <c r="B2127" s="24" t="s">
        <v>268</v>
      </c>
      <c r="C2127" s="362" t="s">
        <v>202</v>
      </c>
      <c r="D2127" s="24"/>
      <c r="E2127" s="378">
        <v>0</v>
      </c>
    </row>
    <row r="2128" spans="1:5" ht="24" customHeight="1">
      <c r="A2128" s="345" t="s">
        <v>46</v>
      </c>
      <c r="B2128" s="357" t="s">
        <v>269</v>
      </c>
      <c r="C2128" s="362" t="s">
        <v>202</v>
      </c>
      <c r="D2128" s="349" t="s">
        <v>297</v>
      </c>
      <c r="E2128" s="491">
        <f>E2129+E2130</f>
        <v>6.0200000000000005</v>
      </c>
    </row>
    <row r="2129" spans="1:5" ht="17.25" customHeight="1">
      <c r="A2129" s="25" t="s">
        <v>48</v>
      </c>
      <c r="B2129" s="24" t="s">
        <v>49</v>
      </c>
      <c r="C2129" s="362" t="s">
        <v>202</v>
      </c>
      <c r="D2129" s="454" t="s">
        <v>298</v>
      </c>
      <c r="E2129" s="386">
        <f>E2105</f>
        <v>1.32</v>
      </c>
    </row>
    <row r="2130" spans="1:5" ht="18" customHeight="1">
      <c r="A2130" s="553" t="s">
        <v>50</v>
      </c>
      <c r="B2130" s="326" t="s">
        <v>51</v>
      </c>
      <c r="C2130" s="365" t="s">
        <v>202</v>
      </c>
      <c r="D2130" s="454" t="s">
        <v>299</v>
      </c>
      <c r="E2130" s="390">
        <f>E2106</f>
        <v>4.7</v>
      </c>
    </row>
    <row r="2131" spans="1:5" ht="27" customHeight="1">
      <c r="A2131" s="554"/>
      <c r="B2131" s="363" t="s">
        <v>51</v>
      </c>
      <c r="C2131" s="366" t="s">
        <v>320</v>
      </c>
      <c r="D2131" s="364" t="s">
        <v>322</v>
      </c>
      <c r="E2131" s="439"/>
    </row>
    <row r="2132" spans="1:5" ht="15" customHeight="1">
      <c r="A2132" s="25" t="s">
        <v>52</v>
      </c>
      <c r="B2132" s="346" t="s">
        <v>270</v>
      </c>
      <c r="C2132" s="33"/>
      <c r="D2132" s="33"/>
      <c r="E2132" s="383"/>
    </row>
    <row r="2133" spans="1:5" ht="15" customHeight="1">
      <c r="A2133" s="25" t="s">
        <v>54</v>
      </c>
      <c r="B2133" s="24" t="s">
        <v>271</v>
      </c>
      <c r="C2133" s="11" t="s">
        <v>272</v>
      </c>
      <c r="D2133" s="351" t="s">
        <v>300</v>
      </c>
      <c r="E2133" s="378">
        <v>9.66</v>
      </c>
    </row>
    <row r="2134" spans="1:7" ht="15" customHeight="1">
      <c r="A2134" s="25" t="s">
        <v>57</v>
      </c>
      <c r="B2134" s="24" t="s">
        <v>58</v>
      </c>
      <c r="C2134" s="362" t="s">
        <v>202</v>
      </c>
      <c r="D2134" s="352" t="s">
        <v>299</v>
      </c>
      <c r="E2134" s="386">
        <f>E2130</f>
        <v>4.7</v>
      </c>
      <c r="G2134" s="276"/>
    </row>
    <row r="2135" spans="1:5" ht="15" customHeight="1">
      <c r="A2135" s="34" t="s">
        <v>60</v>
      </c>
      <c r="B2135" s="358" t="s">
        <v>61</v>
      </c>
      <c r="C2135" s="356"/>
      <c r="D2135" s="356"/>
      <c r="E2135" s="440"/>
    </row>
    <row r="2136" spans="1:5" ht="17.25" customHeight="1">
      <c r="A2136" s="456" t="s">
        <v>62</v>
      </c>
      <c r="B2136" s="455" t="s">
        <v>273</v>
      </c>
      <c r="C2136" s="362" t="s">
        <v>202</v>
      </c>
      <c r="D2136" s="454" t="s">
        <v>301</v>
      </c>
      <c r="E2136" s="492">
        <f>E2137+E2138</f>
        <v>1.9891702127659574</v>
      </c>
    </row>
    <row r="2137" spans="1:5" ht="17.25" customHeight="1">
      <c r="A2137" s="27" t="s">
        <v>63</v>
      </c>
      <c r="B2137" s="496" t="s">
        <v>64</v>
      </c>
      <c r="C2137" s="362" t="s">
        <v>202</v>
      </c>
      <c r="D2137" s="454" t="s">
        <v>302</v>
      </c>
      <c r="E2137" s="383">
        <v>0.71</v>
      </c>
    </row>
    <row r="2138" spans="1:5" ht="18.75" customHeight="1">
      <c r="A2138" s="555" t="s">
        <v>65</v>
      </c>
      <c r="B2138" s="457" t="s">
        <v>66</v>
      </c>
      <c r="C2138" s="362" t="s">
        <v>202</v>
      </c>
      <c r="D2138" s="484" t="s">
        <v>318</v>
      </c>
      <c r="E2138" s="368">
        <f>0.12+(7.24*E2104/37.6)</f>
        <v>1.2791702127659574</v>
      </c>
    </row>
    <row r="2139" spans="1:5" ht="15.75" customHeight="1">
      <c r="A2139" s="556"/>
      <c r="B2139" s="473" t="s">
        <v>66</v>
      </c>
      <c r="C2139" s="367" t="s">
        <v>258</v>
      </c>
      <c r="D2139" s="495" t="s">
        <v>323</v>
      </c>
      <c r="E2139" s="441"/>
    </row>
    <row r="2140" spans="1:5" ht="15" customHeight="1">
      <c r="A2140" s="324" t="s">
        <v>67</v>
      </c>
      <c r="B2140" s="327" t="s">
        <v>274</v>
      </c>
      <c r="C2140" s="9"/>
      <c r="D2140" s="24"/>
      <c r="E2140" s="378"/>
    </row>
    <row r="2141" spans="1:5" ht="15" customHeight="1">
      <c r="A2141" s="324" t="s">
        <v>69</v>
      </c>
      <c r="B2141" s="327" t="s">
        <v>271</v>
      </c>
      <c r="C2141" s="369" t="s">
        <v>272</v>
      </c>
      <c r="D2141" s="351" t="s">
        <v>303</v>
      </c>
      <c r="E2141" s="386">
        <v>4.66</v>
      </c>
    </row>
    <row r="2142" spans="1:5" ht="15" customHeight="1">
      <c r="A2142" s="324" t="s">
        <v>70</v>
      </c>
      <c r="B2142" s="327" t="s">
        <v>275</v>
      </c>
      <c r="C2142" s="362" t="s">
        <v>202</v>
      </c>
      <c r="D2142" s="352" t="s">
        <v>304</v>
      </c>
      <c r="E2142" s="386">
        <f>E2138</f>
        <v>1.2791702127659574</v>
      </c>
    </row>
    <row r="2143" spans="1:5" ht="15" customHeight="1">
      <c r="A2143" s="81" t="s">
        <v>72</v>
      </c>
      <c r="B2143" s="358" t="s">
        <v>276</v>
      </c>
      <c r="C2143" s="370"/>
      <c r="D2143" s="356"/>
      <c r="E2143" s="440"/>
    </row>
    <row r="2144" spans="1:5" ht="15" customHeight="1">
      <c r="A2144" s="328" t="s">
        <v>79</v>
      </c>
      <c r="B2144" s="327" t="s">
        <v>277</v>
      </c>
      <c r="C2144" s="362" t="s">
        <v>202</v>
      </c>
      <c r="D2144" s="351" t="s">
        <v>280</v>
      </c>
      <c r="E2144" s="493">
        <v>0.09</v>
      </c>
    </row>
    <row r="2145" spans="1:5" ht="17.25" customHeight="1">
      <c r="A2145" s="328" t="s">
        <v>278</v>
      </c>
      <c r="B2145" s="480" t="s">
        <v>310</v>
      </c>
      <c r="C2145" s="481" t="s">
        <v>311</v>
      </c>
      <c r="D2145" s="475" t="s">
        <v>313</v>
      </c>
      <c r="E2145" s="315">
        <v>13.42</v>
      </c>
    </row>
    <row r="2146" spans="1:5" ht="18" customHeight="1">
      <c r="A2146" s="328" t="s">
        <v>279</v>
      </c>
      <c r="B2146" s="480" t="s">
        <v>312</v>
      </c>
      <c r="C2146" s="481" t="s">
        <v>311</v>
      </c>
      <c r="D2146" s="474" t="s">
        <v>314</v>
      </c>
      <c r="E2146" s="315">
        <v>0.68</v>
      </c>
    </row>
    <row r="2147" spans="1:5" ht="27.75" customHeight="1">
      <c r="A2147" s="347" t="s">
        <v>115</v>
      </c>
      <c r="B2147" s="476" t="s">
        <v>281</v>
      </c>
      <c r="C2147" s="477"/>
      <c r="D2147" s="478"/>
      <c r="E2147" s="477"/>
    </row>
    <row r="2148" spans="1:5" ht="15" customHeight="1">
      <c r="A2148" s="348" t="s">
        <v>80</v>
      </c>
      <c r="B2148" s="331" t="s">
        <v>81</v>
      </c>
      <c r="C2148" s="362" t="s">
        <v>202</v>
      </c>
      <c r="D2148" s="479"/>
      <c r="E2148" s="493"/>
    </row>
    <row r="2149" spans="1:5" ht="15" customHeight="1">
      <c r="A2149" s="348" t="s">
        <v>82</v>
      </c>
      <c r="B2149" s="331" t="s">
        <v>83</v>
      </c>
      <c r="C2149" s="362" t="s">
        <v>202</v>
      </c>
      <c r="D2149" s="479"/>
      <c r="E2149" s="493"/>
    </row>
    <row r="2150" spans="1:5" ht="26.25" customHeight="1">
      <c r="A2150" s="459" t="s">
        <v>84</v>
      </c>
      <c r="B2150" s="458" t="s">
        <v>282</v>
      </c>
      <c r="C2150" s="362" t="s">
        <v>202</v>
      </c>
      <c r="D2150" s="315"/>
      <c r="E2150" s="443">
        <f>ROUND(E2128+E2136+E2144+E2148+E2149,2)</f>
        <v>8.1</v>
      </c>
    </row>
    <row r="2151" spans="1:5" ht="15" customHeight="1">
      <c r="A2151" s="216" t="s">
        <v>85</v>
      </c>
      <c r="B2151" s="372" t="s">
        <v>86</v>
      </c>
      <c r="C2151" s="362" t="s">
        <v>283</v>
      </c>
      <c r="D2151" s="315"/>
      <c r="E2151" s="315">
        <v>0</v>
      </c>
    </row>
    <row r="2152" spans="1:5" ht="15" customHeight="1">
      <c r="A2152" s="524" t="s">
        <v>87</v>
      </c>
      <c r="B2152" s="525" t="s">
        <v>88</v>
      </c>
      <c r="C2152" s="362" t="s">
        <v>202</v>
      </c>
      <c r="D2152" s="353"/>
      <c r="E2152" s="394">
        <f>E2150</f>
        <v>8.1</v>
      </c>
    </row>
    <row r="2153" spans="1:5" ht="15" customHeight="1">
      <c r="A2153" s="526" t="s">
        <v>89</v>
      </c>
      <c r="B2153" s="525" t="s">
        <v>339</v>
      </c>
      <c r="C2153" s="362" t="s">
        <v>202</v>
      </c>
      <c r="D2153" s="353"/>
      <c r="E2153" s="392">
        <f>E2152*1.09</f>
        <v>8.829</v>
      </c>
    </row>
    <row r="2154" spans="1:5" ht="15" customHeight="1">
      <c r="A2154" s="526" t="s">
        <v>91</v>
      </c>
      <c r="B2154" s="525" t="s">
        <v>92</v>
      </c>
      <c r="C2154" s="362" t="s">
        <v>202</v>
      </c>
      <c r="D2154" s="353"/>
      <c r="E2154" s="522">
        <v>7.72</v>
      </c>
    </row>
    <row r="2155" spans="1:5" ht="15" customHeight="1">
      <c r="A2155" s="329" t="s">
        <v>93</v>
      </c>
      <c r="B2155" s="330" t="s">
        <v>284</v>
      </c>
      <c r="C2155" s="371" t="s">
        <v>95</v>
      </c>
      <c r="D2155" s="353"/>
      <c r="E2155" s="522">
        <f>(E2150/E2154)*100-100</f>
        <v>4.92227979274611</v>
      </c>
    </row>
    <row r="2156" spans="1:5" ht="15" customHeight="1">
      <c r="A2156" s="348" t="s">
        <v>96</v>
      </c>
      <c r="B2156" s="331" t="s">
        <v>97</v>
      </c>
      <c r="C2156" s="85" t="s">
        <v>285</v>
      </c>
      <c r="D2156" s="354"/>
      <c r="E2156" s="520">
        <v>1092</v>
      </c>
    </row>
    <row r="2157" spans="1:5" ht="15" customHeight="1">
      <c r="A2157" s="348" t="s">
        <v>99</v>
      </c>
      <c r="B2157" s="331" t="s">
        <v>286</v>
      </c>
      <c r="C2157" s="85" t="s">
        <v>285</v>
      </c>
      <c r="D2157" s="315"/>
      <c r="E2157" s="520">
        <v>1092</v>
      </c>
    </row>
    <row r="2158" spans="1:5" ht="15" customHeight="1">
      <c r="A2158" s="332" t="s">
        <v>101</v>
      </c>
      <c r="B2158" s="331" t="s">
        <v>287</v>
      </c>
      <c r="C2158" s="85" t="s">
        <v>285</v>
      </c>
      <c r="D2158" s="355"/>
      <c r="E2158" s="521">
        <v>740.706</v>
      </c>
    </row>
    <row r="2159" spans="1:5" ht="15" customHeight="1">
      <c r="A2159" s="332">
        <v>14</v>
      </c>
      <c r="B2159" s="331" t="s">
        <v>288</v>
      </c>
      <c r="C2159" s="80" t="s">
        <v>285</v>
      </c>
      <c r="D2159" s="315"/>
      <c r="E2159" s="315">
        <v>0</v>
      </c>
    </row>
    <row r="2160" ht="15">
      <c r="B2160" s="497" t="s">
        <v>321</v>
      </c>
    </row>
    <row r="2161" ht="15">
      <c r="B2161" s="543" t="s">
        <v>338</v>
      </c>
    </row>
    <row r="2163" spans="2:4" ht="15">
      <c r="B2163" t="s">
        <v>144</v>
      </c>
      <c r="C2163" t="s">
        <v>148</v>
      </c>
      <c r="D2163" s="101" t="s">
        <v>145</v>
      </c>
    </row>
    <row r="2164" ht="15">
      <c r="C2164" s="108" t="s">
        <v>149</v>
      </c>
    </row>
  </sheetData>
  <sheetProtection/>
  <mergeCells count="102">
    <mergeCell ref="D2079:E2079"/>
    <mergeCell ref="D2080:E2080"/>
    <mergeCell ref="A2100:E2100"/>
    <mergeCell ref="A2106:A2107"/>
    <mergeCell ref="A2130:A2131"/>
    <mergeCell ref="A2138:A2139"/>
    <mergeCell ref="A1972:A1973"/>
    <mergeCell ref="B1972:B1973"/>
    <mergeCell ref="A1974:A1975"/>
    <mergeCell ref="B1974:B1975"/>
    <mergeCell ref="A1976:A1977"/>
    <mergeCell ref="B1976:B1977"/>
    <mergeCell ref="D1899:E1899"/>
    <mergeCell ref="D1900:E1900"/>
    <mergeCell ref="A1920:E1920"/>
    <mergeCell ref="A1926:A1927"/>
    <mergeCell ref="A1950:A1951"/>
    <mergeCell ref="A1958:A1959"/>
    <mergeCell ref="B1882:B1883"/>
    <mergeCell ref="A1882:A1883"/>
    <mergeCell ref="A1860:A1861"/>
    <mergeCell ref="B1884:B1885"/>
    <mergeCell ref="A1884:A1885"/>
    <mergeCell ref="B1886:B1887"/>
    <mergeCell ref="A1886:A1887"/>
    <mergeCell ref="A1868:A1869"/>
    <mergeCell ref="D1809:E1809"/>
    <mergeCell ref="D1810:E1810"/>
    <mergeCell ref="A1836:A1837"/>
    <mergeCell ref="A1605:A1607"/>
    <mergeCell ref="B874:E874"/>
    <mergeCell ref="B1684:E1684"/>
    <mergeCell ref="B1694:E1694"/>
    <mergeCell ref="A1695:A1697"/>
    <mergeCell ref="B1424:E1424"/>
    <mergeCell ref="B1594:E1594"/>
    <mergeCell ref="A1245:A1247"/>
    <mergeCell ref="B1147:E1147"/>
    <mergeCell ref="B776:E776"/>
    <mergeCell ref="A966:A968"/>
    <mergeCell ref="A507:A509"/>
    <mergeCell ref="B685:E685"/>
    <mergeCell ref="B601:E601"/>
    <mergeCell ref="B783:E783"/>
    <mergeCell ref="B1234:E1234"/>
    <mergeCell ref="B44:E44"/>
    <mergeCell ref="B51:E51"/>
    <mergeCell ref="B233:E233"/>
    <mergeCell ref="B506:E506"/>
    <mergeCell ref="B226:E226"/>
    <mergeCell ref="A1148:A1150"/>
    <mergeCell ref="A52:A54"/>
    <mergeCell ref="B135:E135"/>
    <mergeCell ref="B142:E142"/>
    <mergeCell ref="B324:E324"/>
    <mergeCell ref="A143:A145"/>
    <mergeCell ref="A416:A418"/>
    <mergeCell ref="B317:E317"/>
    <mergeCell ref="A234:A236"/>
    <mergeCell ref="B415:E415"/>
    <mergeCell ref="B1771:E1771"/>
    <mergeCell ref="A1057:A1059"/>
    <mergeCell ref="B1414:E1414"/>
    <mergeCell ref="B1324:E1324"/>
    <mergeCell ref="B408:E408"/>
    <mergeCell ref="A325:A327"/>
    <mergeCell ref="B1140:E1140"/>
    <mergeCell ref="B594:E594"/>
    <mergeCell ref="B1604:E1604"/>
    <mergeCell ref="B499:E499"/>
    <mergeCell ref="B1781:E1781"/>
    <mergeCell ref="B692:E692"/>
    <mergeCell ref="A693:A695"/>
    <mergeCell ref="A602:A604"/>
    <mergeCell ref="A784:A786"/>
    <mergeCell ref="B1244:E1244"/>
    <mergeCell ref="B1056:E1056"/>
    <mergeCell ref="B867:E867"/>
    <mergeCell ref="A1425:A1427"/>
    <mergeCell ref="B1334:E1334"/>
    <mergeCell ref="A1830:E1830"/>
    <mergeCell ref="A1782:A1784"/>
    <mergeCell ref="A875:A877"/>
    <mergeCell ref="B1504:E1504"/>
    <mergeCell ref="B1514:E1514"/>
    <mergeCell ref="A1515:A1517"/>
    <mergeCell ref="B958:E958"/>
    <mergeCell ref="B965:E965"/>
    <mergeCell ref="A1335:A1337"/>
    <mergeCell ref="B1049:E1049"/>
    <mergeCell ref="D1989:E1989"/>
    <mergeCell ref="D1990:E1990"/>
    <mergeCell ref="A2010:E2010"/>
    <mergeCell ref="A2016:A2017"/>
    <mergeCell ref="A2040:A2041"/>
    <mergeCell ref="A2048:A2049"/>
    <mergeCell ref="A2062:A2063"/>
    <mergeCell ref="B2062:B2063"/>
    <mergeCell ref="A2064:A2065"/>
    <mergeCell ref="B2064:B2065"/>
    <mergeCell ref="A2066:A2067"/>
    <mergeCell ref="B2066:B2067"/>
  </mergeCells>
  <conditionalFormatting sqref="E1835 E20 E111 E202 E293 E384 E475 E566 E657 E748 E839 E930 E1021 E1112 E1204:E1205 E1294:E1295 E1384:E1385 E1474:E1475 E1564:E1565 E1654:E1655 E1741:E1742 E1925 E2015 E2105">
    <cfRule type="containsErrors" priority="24" dxfId="1" stopIfTrue="1">
      <formula>ISERROR(E20)</formula>
    </cfRule>
  </conditionalFormatting>
  <hyperlinks>
    <hyperlink ref="A6" r:id="rId1" display="www.anyksciusiluma.lt"/>
    <hyperlink ref="A97" r:id="rId2" display="www.anyksciusiluma.lt"/>
    <hyperlink ref="A188" r:id="rId3" display="www.anyksciusiluma.lt"/>
    <hyperlink ref="A279" r:id="rId4" display="www.anyksciusiluma.lt"/>
    <hyperlink ref="A370" r:id="rId5" display="www.anyksciusiluma.lt"/>
    <hyperlink ref="A461" r:id="rId6" display="www.anyksciusiluma.lt"/>
    <hyperlink ref="A552" r:id="rId7" display="www.anyksciusiluma.lt"/>
    <hyperlink ref="A643" r:id="rId8" display="www.anyksciusiluma.lt"/>
    <hyperlink ref="A734" r:id="rId9" display="www.anyksciusiluma.lt"/>
    <hyperlink ref="A825" r:id="rId10" display="www.anyksciusiluma.lt"/>
    <hyperlink ref="A916" r:id="rId11" display="www.anyksciusiluma.lt"/>
    <hyperlink ref="A1007" r:id="rId12" display="www.anyksciusiluma.lt"/>
    <hyperlink ref="A1098" r:id="rId13" display="www.anyksciusiluma.lt"/>
    <hyperlink ref="A1189" r:id="rId14" display="www.anyksciusiluma.lt"/>
    <hyperlink ref="A1279" r:id="rId15" display="www.anyksciusiluma.lt"/>
    <hyperlink ref="A1369" r:id="rId16" display="www.anyksciusiluma.lt"/>
    <hyperlink ref="A1459" r:id="rId17" display="www.anyksciusiluma.lt"/>
    <hyperlink ref="A1549" r:id="rId18" display="www.anyksciusiluma.lt"/>
    <hyperlink ref="A1639" r:id="rId19" display="www.anyksciusiluma.lt"/>
    <hyperlink ref="A1640" r:id="rId20" display="ast.info@takas.lt"/>
    <hyperlink ref="A1726" r:id="rId21" display="www.anyksciusiluma.lt"/>
    <hyperlink ref="A1727" r:id="rId22" display="ast.info@takas.lt"/>
  </hyperlinks>
  <printOptions/>
  <pageMargins left="0.78740157480315" right="0.78740157480315" top="1.18110236220472" bottom="0.590551181102362" header="0.31496062992126" footer="0.31496062992126"/>
  <pageSetup orientation="landscape" paperSize="9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2:L886"/>
  <sheetViews>
    <sheetView zoomScalePageLayoutView="0" workbookViewId="0" topLeftCell="A1">
      <selection activeCell="B881" sqref="B881"/>
    </sheetView>
  </sheetViews>
  <sheetFormatPr defaultColWidth="9.140625" defaultRowHeight="15"/>
  <cols>
    <col min="1" max="1" width="7.421875" style="0" customWidth="1"/>
    <col min="2" max="2" width="57.28125" style="0" customWidth="1"/>
    <col min="3" max="3" width="12.140625" style="0" customWidth="1"/>
    <col min="4" max="4" width="34.8515625" style="0" customWidth="1"/>
  </cols>
  <sheetData>
    <row r="1" ht="7.5" customHeight="1"/>
    <row r="2" spans="1:9" ht="15" hidden="1">
      <c r="A2" s="87" t="s">
        <v>0</v>
      </c>
      <c r="B2" s="87"/>
      <c r="E2" s="87" t="s">
        <v>141</v>
      </c>
      <c r="I2" s="3" t="s">
        <v>107</v>
      </c>
    </row>
    <row r="3" spans="1:4" ht="15" hidden="1">
      <c r="A3" s="87" t="s">
        <v>1</v>
      </c>
      <c r="B3" s="87"/>
      <c r="D3" s="87" t="s">
        <v>133</v>
      </c>
    </row>
    <row r="4" spans="1:4" ht="15" hidden="1">
      <c r="A4" s="87" t="s">
        <v>2</v>
      </c>
      <c r="B4" s="87"/>
      <c r="D4" s="87" t="s">
        <v>122</v>
      </c>
    </row>
    <row r="5" spans="1:4" ht="15" hidden="1">
      <c r="A5" s="87" t="s">
        <v>3</v>
      </c>
      <c r="B5" s="87"/>
      <c r="D5" s="87" t="s">
        <v>123</v>
      </c>
    </row>
    <row r="6" spans="1:4" ht="15" hidden="1">
      <c r="A6" s="87" t="s">
        <v>4</v>
      </c>
      <c r="B6" s="87"/>
      <c r="D6" s="87" t="s">
        <v>124</v>
      </c>
    </row>
    <row r="7" spans="1:4" ht="15" hidden="1">
      <c r="A7" s="87" t="s">
        <v>5</v>
      </c>
      <c r="B7" s="87"/>
      <c r="D7" s="87" t="s">
        <v>125</v>
      </c>
    </row>
    <row r="8" ht="15" hidden="1"/>
    <row r="9" spans="1:9" ht="15.75" hidden="1">
      <c r="A9" s="96"/>
      <c r="B9" s="96" t="s">
        <v>140</v>
      </c>
      <c r="C9" s="96"/>
      <c r="D9" s="96"/>
      <c r="E9" s="96"/>
      <c r="F9" s="96"/>
      <c r="G9" s="96"/>
      <c r="H9" s="96"/>
      <c r="I9" s="96"/>
    </row>
    <row r="10" spans="3:4" ht="15" hidden="1">
      <c r="C10" s="103">
        <v>41479</v>
      </c>
      <c r="D10" s="97"/>
    </row>
    <row r="11" ht="15" hidden="1">
      <c r="C11" s="102" t="s">
        <v>146</v>
      </c>
    </row>
    <row r="12" spans="1:2" ht="15" hidden="1">
      <c r="A12" s="2" t="s">
        <v>6</v>
      </c>
      <c r="B12" s="2"/>
    </row>
    <row r="13" spans="1:2" ht="15" hidden="1">
      <c r="A13" s="1" t="s">
        <v>150</v>
      </c>
      <c r="B13" s="1"/>
    </row>
    <row r="14" spans="1:2" ht="15" hidden="1">
      <c r="A14" s="1" t="s">
        <v>7</v>
      </c>
      <c r="B14" s="1"/>
    </row>
    <row r="15" ht="15" hidden="1"/>
    <row r="16" spans="1:5" ht="15" hidden="1">
      <c r="A16" s="25" t="s">
        <v>8</v>
      </c>
      <c r="B16" s="25" t="s">
        <v>9</v>
      </c>
      <c r="C16" s="29" t="s">
        <v>10</v>
      </c>
      <c r="D16" s="29" t="s">
        <v>11</v>
      </c>
      <c r="E16" s="25" t="s">
        <v>12</v>
      </c>
    </row>
    <row r="17" spans="1:5" ht="15" hidden="1">
      <c r="A17" s="24">
        <v>1</v>
      </c>
      <c r="B17" s="24">
        <v>2</v>
      </c>
      <c r="C17" s="55">
        <v>3</v>
      </c>
      <c r="D17" s="55">
        <v>4</v>
      </c>
      <c r="E17" s="24">
        <v>5</v>
      </c>
    </row>
    <row r="18" spans="1:2" ht="15" hidden="1">
      <c r="A18" s="66" t="s">
        <v>13</v>
      </c>
      <c r="B18" s="8" t="s">
        <v>108</v>
      </c>
    </row>
    <row r="19" spans="1:5" ht="15" hidden="1">
      <c r="A19" s="67" t="s">
        <v>15</v>
      </c>
      <c r="B19" s="24" t="s">
        <v>109</v>
      </c>
      <c r="C19" s="57" t="s">
        <v>110</v>
      </c>
      <c r="D19" s="98" t="s">
        <v>111</v>
      </c>
      <c r="E19" s="62">
        <v>0.97</v>
      </c>
    </row>
    <row r="20" spans="1:12" ht="15" hidden="1">
      <c r="A20" s="66" t="s">
        <v>21</v>
      </c>
      <c r="B20" s="65" t="s">
        <v>112</v>
      </c>
      <c r="C20" s="61" t="s">
        <v>110</v>
      </c>
      <c r="D20" s="98" t="s">
        <v>142</v>
      </c>
      <c r="E20" s="112">
        <v>21.68</v>
      </c>
      <c r="K20" s="601"/>
      <c r="L20" s="601"/>
    </row>
    <row r="21" spans="1:5" ht="15" hidden="1">
      <c r="A21" s="68" t="s">
        <v>60</v>
      </c>
      <c r="B21" s="60" t="s">
        <v>113</v>
      </c>
      <c r="C21" s="11" t="s">
        <v>59</v>
      </c>
      <c r="D21" s="59"/>
      <c r="E21" s="112" t="e">
        <f>'Silumos kaina'!E59</f>
        <v>#REF!</v>
      </c>
    </row>
    <row r="22" spans="1:5" ht="15" hidden="1">
      <c r="A22" s="69" t="s">
        <v>72</v>
      </c>
      <c r="B22" s="60" t="s">
        <v>114</v>
      </c>
      <c r="C22" s="63" t="s">
        <v>110</v>
      </c>
      <c r="D22" s="100" t="s">
        <v>143</v>
      </c>
      <c r="E22" s="62">
        <v>6.58</v>
      </c>
    </row>
    <row r="23" spans="1:5" ht="15" hidden="1">
      <c r="A23" s="74" t="s">
        <v>115</v>
      </c>
      <c r="B23" s="60" t="s">
        <v>116</v>
      </c>
      <c r="C23" s="64" t="s">
        <v>110</v>
      </c>
      <c r="D23" s="57" t="s">
        <v>143</v>
      </c>
      <c r="E23" s="99">
        <v>11.25</v>
      </c>
    </row>
    <row r="24" spans="1:5" ht="15" hidden="1">
      <c r="A24" s="75" t="s">
        <v>84</v>
      </c>
      <c r="B24" s="72" t="s">
        <v>117</v>
      </c>
      <c r="C24" s="64" t="s">
        <v>110</v>
      </c>
      <c r="D24" s="98" t="s">
        <v>121</v>
      </c>
      <c r="E24" s="114">
        <f>E19+E20</f>
        <v>22.65</v>
      </c>
    </row>
    <row r="25" spans="1:5" ht="15" hidden="1">
      <c r="A25" s="75" t="s">
        <v>85</v>
      </c>
      <c r="B25" s="73" t="s">
        <v>118</v>
      </c>
      <c r="C25" s="64" t="s">
        <v>110</v>
      </c>
      <c r="D25" s="70"/>
      <c r="E25" s="112">
        <f>E24*1.09</f>
        <v>24.6885</v>
      </c>
    </row>
    <row r="26" spans="1:5" ht="15" hidden="1">
      <c r="A26" s="75" t="s">
        <v>87</v>
      </c>
      <c r="B26" s="73" t="s">
        <v>119</v>
      </c>
      <c r="C26" s="64" t="s">
        <v>110</v>
      </c>
      <c r="D26" s="58"/>
      <c r="E26" s="113" t="e">
        <f>E21/100*51+6.58+0.01</f>
        <v>#REF!</v>
      </c>
    </row>
    <row r="27" spans="1:5" ht="15" hidden="1">
      <c r="A27" s="75" t="s">
        <v>89</v>
      </c>
      <c r="B27" s="71" t="s">
        <v>120</v>
      </c>
      <c r="C27" s="76" t="s">
        <v>95</v>
      </c>
      <c r="D27" s="58"/>
      <c r="E27" s="62"/>
    </row>
    <row r="28" ht="15" hidden="1"/>
    <row r="29" ht="15" hidden="1"/>
    <row r="30" spans="2:4" ht="15" hidden="1">
      <c r="B30" t="s">
        <v>144</v>
      </c>
      <c r="C30" t="s">
        <v>148</v>
      </c>
      <c r="D30" s="101" t="s">
        <v>145</v>
      </c>
    </row>
    <row r="31" ht="15" hidden="1">
      <c r="C31" s="108" t="s">
        <v>149</v>
      </c>
    </row>
    <row r="32" ht="15" hidden="1"/>
    <row r="33" ht="15" hidden="1"/>
    <row r="34" spans="1:5" ht="15" hidden="1">
      <c r="A34" s="87" t="s">
        <v>0</v>
      </c>
      <c r="B34" s="87"/>
      <c r="E34" s="87" t="s">
        <v>141</v>
      </c>
    </row>
    <row r="35" spans="1:4" ht="15" hidden="1">
      <c r="A35" s="87" t="s">
        <v>1</v>
      </c>
      <c r="B35" s="87"/>
      <c r="D35" s="87" t="s">
        <v>133</v>
      </c>
    </row>
    <row r="36" spans="1:4" ht="15" hidden="1">
      <c r="A36" s="87" t="s">
        <v>2</v>
      </c>
      <c r="B36" s="87"/>
      <c r="D36" s="87" t="s">
        <v>122</v>
      </c>
    </row>
    <row r="37" spans="1:4" ht="15" hidden="1">
      <c r="A37" s="87" t="s">
        <v>3</v>
      </c>
      <c r="B37" s="87"/>
      <c r="D37" s="87" t="s">
        <v>123</v>
      </c>
    </row>
    <row r="38" spans="1:4" ht="15" hidden="1">
      <c r="A38" s="87" t="s">
        <v>4</v>
      </c>
      <c r="B38" s="87"/>
      <c r="D38" s="87" t="s">
        <v>124</v>
      </c>
    </row>
    <row r="39" spans="1:4" ht="15" hidden="1">
      <c r="A39" s="87" t="s">
        <v>5</v>
      </c>
      <c r="B39" s="87"/>
      <c r="D39" s="87" t="s">
        <v>125</v>
      </c>
    </row>
    <row r="40" ht="15" hidden="1"/>
    <row r="41" spans="1:5" ht="15.75" hidden="1">
      <c r="A41" s="96"/>
      <c r="B41" s="96" t="s">
        <v>152</v>
      </c>
      <c r="C41" s="96"/>
      <c r="D41" s="96"/>
      <c r="E41" s="96"/>
    </row>
    <row r="42" spans="3:4" ht="15" hidden="1">
      <c r="C42" s="103">
        <v>41506</v>
      </c>
      <c r="D42" s="97"/>
    </row>
    <row r="43" ht="15" hidden="1">
      <c r="C43" s="102" t="s">
        <v>146</v>
      </c>
    </row>
    <row r="44" spans="1:2" ht="15" hidden="1">
      <c r="A44" s="2" t="s">
        <v>6</v>
      </c>
      <c r="B44" s="2"/>
    </row>
    <row r="45" spans="1:2" ht="15" hidden="1">
      <c r="A45" s="1" t="s">
        <v>150</v>
      </c>
      <c r="B45" s="1"/>
    </row>
    <row r="46" spans="1:2" ht="15" hidden="1">
      <c r="A46" s="1" t="s">
        <v>7</v>
      </c>
      <c r="B46" s="1"/>
    </row>
    <row r="47" ht="15" hidden="1"/>
    <row r="48" spans="1:5" ht="15" hidden="1">
      <c r="A48" s="25" t="s">
        <v>8</v>
      </c>
      <c r="B48" s="25" t="s">
        <v>9</v>
      </c>
      <c r="C48" s="29" t="s">
        <v>10</v>
      </c>
      <c r="D48" s="29" t="s">
        <v>11</v>
      </c>
      <c r="E48" s="25" t="s">
        <v>12</v>
      </c>
    </row>
    <row r="49" spans="1:5" ht="15" hidden="1">
      <c r="A49" s="24">
        <v>1</v>
      </c>
      <c r="B49" s="24">
        <v>2</v>
      </c>
      <c r="C49" s="55">
        <v>3</v>
      </c>
      <c r="D49" s="55">
        <v>4</v>
      </c>
      <c r="E49" s="24">
        <v>5</v>
      </c>
    </row>
    <row r="50" spans="1:2" ht="15" hidden="1">
      <c r="A50" s="66" t="s">
        <v>13</v>
      </c>
      <c r="B50" s="8" t="s">
        <v>108</v>
      </c>
    </row>
    <row r="51" spans="1:5" ht="15" hidden="1">
      <c r="A51" s="67" t="s">
        <v>15</v>
      </c>
      <c r="B51" s="24" t="s">
        <v>109</v>
      </c>
      <c r="C51" s="57" t="s">
        <v>110</v>
      </c>
      <c r="D51" s="98" t="s">
        <v>111</v>
      </c>
      <c r="E51" s="62">
        <v>0.97</v>
      </c>
    </row>
    <row r="52" spans="1:5" ht="15" hidden="1">
      <c r="A52" s="66" t="s">
        <v>21</v>
      </c>
      <c r="B52" s="65" t="s">
        <v>112</v>
      </c>
      <c r="C52" s="61" t="s">
        <v>110</v>
      </c>
      <c r="D52" s="98" t="s">
        <v>142</v>
      </c>
      <c r="E52" s="112" t="e">
        <f>'Silumos kaina'!E150/100*52.25+6.58*1.025+11.21*0.01</f>
        <v>#REF!</v>
      </c>
    </row>
    <row r="53" spans="1:5" ht="15" hidden="1">
      <c r="A53" s="68" t="s">
        <v>60</v>
      </c>
      <c r="B53" s="60" t="s">
        <v>113</v>
      </c>
      <c r="C53" s="11" t="s">
        <v>59</v>
      </c>
      <c r="D53" s="59"/>
      <c r="E53" s="112">
        <f>'Silumos kaina'!E91</f>
        <v>0</v>
      </c>
    </row>
    <row r="54" spans="1:5" ht="15" hidden="1">
      <c r="A54" s="69" t="s">
        <v>72</v>
      </c>
      <c r="B54" s="60" t="s">
        <v>114</v>
      </c>
      <c r="C54" s="63" t="s">
        <v>110</v>
      </c>
      <c r="D54" s="100" t="s">
        <v>143</v>
      </c>
      <c r="E54" s="62">
        <v>6.58</v>
      </c>
    </row>
    <row r="55" spans="1:5" ht="15" hidden="1">
      <c r="A55" s="74" t="s">
        <v>115</v>
      </c>
      <c r="B55" s="60" t="s">
        <v>116</v>
      </c>
      <c r="C55" s="64" t="s">
        <v>110</v>
      </c>
      <c r="D55" s="57" t="s">
        <v>143</v>
      </c>
      <c r="E55" s="99">
        <v>11.25</v>
      </c>
    </row>
    <row r="56" spans="1:5" ht="15" hidden="1">
      <c r="A56" s="75" t="s">
        <v>84</v>
      </c>
      <c r="B56" s="72" t="s">
        <v>117</v>
      </c>
      <c r="C56" s="64" t="s">
        <v>110</v>
      </c>
      <c r="D56" s="98" t="s">
        <v>121</v>
      </c>
      <c r="E56" s="114" t="e">
        <f>E51+E52</f>
        <v>#REF!</v>
      </c>
    </row>
    <row r="57" spans="1:5" ht="15" hidden="1">
      <c r="A57" s="75" t="s">
        <v>85</v>
      </c>
      <c r="B57" s="73" t="s">
        <v>118</v>
      </c>
      <c r="C57" s="64" t="s">
        <v>110</v>
      </c>
      <c r="D57" s="70"/>
      <c r="E57" s="112" t="e">
        <f>E56*1.09</f>
        <v>#REF!</v>
      </c>
    </row>
    <row r="58" spans="1:5" ht="15" hidden="1">
      <c r="A58" s="75" t="s">
        <v>87</v>
      </c>
      <c r="B58" s="73" t="s">
        <v>119</v>
      </c>
      <c r="C58" s="64" t="s">
        <v>110</v>
      </c>
      <c r="D58" s="58"/>
      <c r="E58" s="113" t="e">
        <f>'Silumos kaina'!E152/100*51+6.58+0.01</f>
        <v>#REF!</v>
      </c>
    </row>
    <row r="59" spans="1:5" ht="15" hidden="1">
      <c r="A59" s="75" t="s">
        <v>89</v>
      </c>
      <c r="B59" s="71" t="s">
        <v>120</v>
      </c>
      <c r="C59" s="76" t="s">
        <v>95</v>
      </c>
      <c r="D59" s="58"/>
      <c r="E59" s="112" t="e">
        <f>(E56/E24)*100-100</f>
        <v>#REF!</v>
      </c>
    </row>
    <row r="60" ht="15" hidden="1"/>
    <row r="61" ht="15" hidden="1"/>
    <row r="62" spans="2:4" ht="15" hidden="1">
      <c r="B62" t="s">
        <v>144</v>
      </c>
      <c r="C62" t="s">
        <v>148</v>
      </c>
      <c r="D62" s="101" t="s">
        <v>145</v>
      </c>
    </row>
    <row r="63" ht="15" hidden="1">
      <c r="C63" s="108" t="s">
        <v>149</v>
      </c>
    </row>
    <row r="64" ht="15" hidden="1"/>
    <row r="65" ht="15" hidden="1"/>
    <row r="66" spans="1:5" ht="15" hidden="1">
      <c r="A66" s="87" t="s">
        <v>0</v>
      </c>
      <c r="B66" s="87"/>
      <c r="E66" s="87" t="s">
        <v>141</v>
      </c>
    </row>
    <row r="67" spans="1:4" ht="15" hidden="1">
      <c r="A67" s="87" t="s">
        <v>1</v>
      </c>
      <c r="B67" s="87"/>
      <c r="D67" s="87" t="s">
        <v>133</v>
      </c>
    </row>
    <row r="68" spans="1:4" ht="15" hidden="1">
      <c r="A68" s="87" t="s">
        <v>2</v>
      </c>
      <c r="B68" s="87"/>
      <c r="D68" s="87" t="s">
        <v>122</v>
      </c>
    </row>
    <row r="69" spans="1:4" ht="15" hidden="1">
      <c r="A69" s="87" t="s">
        <v>3</v>
      </c>
      <c r="B69" s="87"/>
      <c r="D69" s="87" t="s">
        <v>123</v>
      </c>
    </row>
    <row r="70" spans="1:4" ht="15" hidden="1">
      <c r="A70" s="87" t="s">
        <v>4</v>
      </c>
      <c r="B70" s="87"/>
      <c r="D70" s="87" t="s">
        <v>124</v>
      </c>
    </row>
    <row r="71" spans="1:4" ht="15" hidden="1">
      <c r="A71" s="87" t="s">
        <v>5</v>
      </c>
      <c r="B71" s="87"/>
      <c r="D71" s="87" t="s">
        <v>125</v>
      </c>
    </row>
    <row r="72" ht="15" hidden="1"/>
    <row r="73" spans="1:5" ht="15.75" hidden="1">
      <c r="A73" s="96"/>
      <c r="B73" s="96" t="s">
        <v>153</v>
      </c>
      <c r="C73" s="96"/>
      <c r="D73" s="96"/>
      <c r="E73" s="96"/>
    </row>
    <row r="74" spans="3:4" ht="15" hidden="1">
      <c r="C74" s="103">
        <v>41540</v>
      </c>
      <c r="D74" s="97"/>
    </row>
    <row r="75" ht="15" hidden="1">
      <c r="C75" s="102" t="s">
        <v>146</v>
      </c>
    </row>
    <row r="76" spans="1:2" ht="15" hidden="1">
      <c r="A76" s="2" t="s">
        <v>6</v>
      </c>
      <c r="B76" s="2"/>
    </row>
    <row r="77" spans="1:2" ht="15" hidden="1">
      <c r="A77" s="1" t="s">
        <v>150</v>
      </c>
      <c r="B77" s="1"/>
    </row>
    <row r="78" spans="1:2" ht="15" hidden="1">
      <c r="A78" s="1" t="s">
        <v>7</v>
      </c>
      <c r="B78" s="1"/>
    </row>
    <row r="79" ht="15" hidden="1">
      <c r="A79" t="s">
        <v>158</v>
      </c>
    </row>
    <row r="80" spans="1:5" ht="15" hidden="1">
      <c r="A80" s="25" t="s">
        <v>8</v>
      </c>
      <c r="B80" s="25" t="s">
        <v>9</v>
      </c>
      <c r="C80" s="29" t="s">
        <v>10</v>
      </c>
      <c r="D80" s="29" t="s">
        <v>11</v>
      </c>
      <c r="E80" s="25" t="s">
        <v>12</v>
      </c>
    </row>
    <row r="81" spans="1:5" ht="15" hidden="1">
      <c r="A81" s="24">
        <v>1</v>
      </c>
      <c r="B81" s="24">
        <v>2</v>
      </c>
      <c r="C81" s="55">
        <v>3</v>
      </c>
      <c r="D81" s="55">
        <v>4</v>
      </c>
      <c r="E81" s="24">
        <v>5</v>
      </c>
    </row>
    <row r="82" spans="1:2" ht="15" hidden="1">
      <c r="A82" s="66" t="s">
        <v>13</v>
      </c>
      <c r="B82" s="8" t="s">
        <v>108</v>
      </c>
    </row>
    <row r="83" spans="1:5" ht="15" hidden="1">
      <c r="A83" s="67" t="s">
        <v>15</v>
      </c>
      <c r="B83" s="24" t="s">
        <v>109</v>
      </c>
      <c r="C83" s="57" t="s">
        <v>110</v>
      </c>
      <c r="D83" s="98" t="s">
        <v>111</v>
      </c>
      <c r="E83" s="62">
        <v>0.97</v>
      </c>
    </row>
    <row r="84" spans="1:5" ht="15" hidden="1">
      <c r="A84" s="66" t="s">
        <v>21</v>
      </c>
      <c r="B84" s="65" t="s">
        <v>112</v>
      </c>
      <c r="C84" s="61" t="s">
        <v>110</v>
      </c>
      <c r="D84" s="98" t="s">
        <v>142</v>
      </c>
      <c r="E84" s="112">
        <v>21.58</v>
      </c>
    </row>
    <row r="85" spans="1:5" ht="15" hidden="1">
      <c r="A85" s="68" t="s">
        <v>60</v>
      </c>
      <c r="B85" s="60" t="s">
        <v>113</v>
      </c>
      <c r="C85" s="11" t="s">
        <v>59</v>
      </c>
      <c r="D85" s="59"/>
      <c r="E85" s="112" t="e">
        <f>'Silumos kaina'!E239</f>
        <v>#REF!</v>
      </c>
    </row>
    <row r="86" spans="1:5" ht="15" hidden="1">
      <c r="A86" s="69" t="s">
        <v>72</v>
      </c>
      <c r="B86" s="60" t="s">
        <v>114</v>
      </c>
      <c r="C86" s="63" t="s">
        <v>110</v>
      </c>
      <c r="D86" s="100" t="s">
        <v>143</v>
      </c>
      <c r="E86" s="62">
        <v>6.58</v>
      </c>
    </row>
    <row r="87" spans="1:5" ht="15" hidden="1">
      <c r="A87" s="74" t="s">
        <v>115</v>
      </c>
      <c r="B87" s="60" t="s">
        <v>116</v>
      </c>
      <c r="C87" s="64" t="s">
        <v>110</v>
      </c>
      <c r="D87" s="57" t="s">
        <v>143</v>
      </c>
      <c r="E87" s="99">
        <v>11.21</v>
      </c>
    </row>
    <row r="88" spans="1:5" ht="15" hidden="1">
      <c r="A88" s="75" t="s">
        <v>84</v>
      </c>
      <c r="B88" s="72" t="s">
        <v>117</v>
      </c>
      <c r="C88" s="64" t="s">
        <v>110</v>
      </c>
      <c r="D88" s="98" t="s">
        <v>121</v>
      </c>
      <c r="E88" s="114">
        <f>E83+E84</f>
        <v>22.549999999999997</v>
      </c>
    </row>
    <row r="89" spans="1:5" ht="15" hidden="1">
      <c r="A89" s="75" t="s">
        <v>85</v>
      </c>
      <c r="B89" s="73" t="s">
        <v>118</v>
      </c>
      <c r="C89" s="64" t="s">
        <v>110</v>
      </c>
      <c r="D89" s="70"/>
      <c r="E89" s="112">
        <f>E88*1.09</f>
        <v>24.5795</v>
      </c>
    </row>
    <row r="90" spans="1:5" ht="15" hidden="1">
      <c r="A90" s="75" t="s">
        <v>87</v>
      </c>
      <c r="B90" s="73" t="s">
        <v>119</v>
      </c>
      <c r="C90" s="64" t="s">
        <v>110</v>
      </c>
      <c r="D90" s="58"/>
      <c r="E90" s="113" t="e">
        <f>E56</f>
        <v>#REF!</v>
      </c>
    </row>
    <row r="91" spans="1:5" ht="15" hidden="1">
      <c r="A91" s="75" t="s">
        <v>89</v>
      </c>
      <c r="B91" s="71" t="s">
        <v>120</v>
      </c>
      <c r="C91" s="76" t="s">
        <v>95</v>
      </c>
      <c r="D91" s="58"/>
      <c r="E91" s="112" t="e">
        <f>(E88/E56)*100-100</f>
        <v>#REF!</v>
      </c>
    </row>
    <row r="92" ht="15" hidden="1"/>
    <row r="93" ht="15" hidden="1"/>
    <row r="94" spans="2:4" ht="15" hidden="1">
      <c r="B94" t="s">
        <v>160</v>
      </c>
      <c r="D94" s="110" t="s">
        <v>156</v>
      </c>
    </row>
    <row r="95" ht="15" hidden="1">
      <c r="C95" s="108" t="s">
        <v>149</v>
      </c>
    </row>
    <row r="96" ht="15" hidden="1"/>
    <row r="97" ht="15" hidden="1"/>
    <row r="98" spans="1:5" ht="15" hidden="1">
      <c r="A98" s="87" t="s">
        <v>0</v>
      </c>
      <c r="B98" s="87"/>
      <c r="E98" s="87" t="s">
        <v>141</v>
      </c>
    </row>
    <row r="99" spans="1:4" ht="15" hidden="1">
      <c r="A99" s="87" t="s">
        <v>1</v>
      </c>
      <c r="B99" s="87"/>
      <c r="D99" s="87" t="s">
        <v>133</v>
      </c>
    </row>
    <row r="100" spans="1:4" ht="15" hidden="1">
      <c r="A100" s="87" t="s">
        <v>2</v>
      </c>
      <c r="B100" s="87"/>
      <c r="D100" s="87" t="s">
        <v>122</v>
      </c>
    </row>
    <row r="101" spans="1:4" ht="15" hidden="1">
      <c r="A101" s="87" t="s">
        <v>3</v>
      </c>
      <c r="B101" s="87"/>
      <c r="D101" s="87" t="s">
        <v>123</v>
      </c>
    </row>
    <row r="102" spans="1:4" ht="15" hidden="1">
      <c r="A102" s="87" t="s">
        <v>4</v>
      </c>
      <c r="B102" s="87"/>
      <c r="D102" s="87" t="s">
        <v>124</v>
      </c>
    </row>
    <row r="103" spans="1:4" ht="15" hidden="1">
      <c r="A103" s="87" t="s">
        <v>5</v>
      </c>
      <c r="B103" s="87"/>
      <c r="D103" s="87" t="s">
        <v>125</v>
      </c>
    </row>
    <row r="104" ht="15" hidden="1"/>
    <row r="105" spans="1:5" ht="15.75" hidden="1">
      <c r="A105" s="96"/>
      <c r="B105" s="96" t="s">
        <v>161</v>
      </c>
      <c r="C105" s="96"/>
      <c r="D105" s="96"/>
      <c r="E105" s="96"/>
    </row>
    <row r="106" spans="3:4" ht="15" hidden="1">
      <c r="C106" s="103">
        <v>41568</v>
      </c>
      <c r="D106" s="97"/>
    </row>
    <row r="107" ht="15" hidden="1">
      <c r="C107" s="102" t="s">
        <v>146</v>
      </c>
    </row>
    <row r="108" spans="1:2" ht="15" hidden="1">
      <c r="A108" s="2" t="s">
        <v>6</v>
      </c>
      <c r="B108" s="2"/>
    </row>
    <row r="109" spans="1:2" ht="15" hidden="1">
      <c r="A109" s="1" t="s">
        <v>150</v>
      </c>
      <c r="B109" s="1"/>
    </row>
    <row r="110" spans="1:2" ht="15" hidden="1">
      <c r="A110" s="1" t="s">
        <v>7</v>
      </c>
      <c r="B110" s="1"/>
    </row>
    <row r="111" ht="15.75" hidden="1" thickBot="1">
      <c r="A111" t="s">
        <v>158</v>
      </c>
    </row>
    <row r="112" spans="1:5" ht="15" hidden="1">
      <c r="A112" s="117" t="s">
        <v>8</v>
      </c>
      <c r="B112" s="118" t="s">
        <v>9</v>
      </c>
      <c r="C112" s="119" t="s">
        <v>10</v>
      </c>
      <c r="D112" s="119" t="s">
        <v>11</v>
      </c>
      <c r="E112" s="120" t="s">
        <v>12</v>
      </c>
    </row>
    <row r="113" spans="1:5" ht="15" hidden="1">
      <c r="A113" s="121">
        <v>1</v>
      </c>
      <c r="B113" s="24">
        <v>2</v>
      </c>
      <c r="C113" s="55">
        <v>3</v>
      </c>
      <c r="D113" s="55">
        <v>4</v>
      </c>
      <c r="E113" s="122">
        <v>5</v>
      </c>
    </row>
    <row r="114" spans="1:5" ht="15" hidden="1">
      <c r="A114" s="123" t="s">
        <v>13</v>
      </c>
      <c r="B114" s="124" t="s">
        <v>108</v>
      </c>
      <c r="C114" s="125"/>
      <c r="D114" s="125"/>
      <c r="E114" s="126"/>
    </row>
    <row r="115" spans="1:5" ht="15" hidden="1">
      <c r="A115" s="127" t="s">
        <v>15</v>
      </c>
      <c r="B115" s="24" t="s">
        <v>109</v>
      </c>
      <c r="C115" s="57" t="s">
        <v>110</v>
      </c>
      <c r="D115" s="98" t="s">
        <v>111</v>
      </c>
      <c r="E115" s="128">
        <v>0.97</v>
      </c>
    </row>
    <row r="116" spans="1:5" ht="15" hidden="1">
      <c r="A116" s="123" t="s">
        <v>21</v>
      </c>
      <c r="B116" s="65" t="s">
        <v>112</v>
      </c>
      <c r="C116" s="61" t="s">
        <v>110</v>
      </c>
      <c r="D116" s="98" t="s">
        <v>142</v>
      </c>
      <c r="E116" s="129">
        <v>21.49</v>
      </c>
    </row>
    <row r="117" spans="1:5" ht="15" hidden="1">
      <c r="A117" s="130" t="s">
        <v>60</v>
      </c>
      <c r="B117" s="60" t="s">
        <v>113</v>
      </c>
      <c r="C117" s="11" t="s">
        <v>59</v>
      </c>
      <c r="D117" s="59"/>
      <c r="E117" s="129" t="e">
        <f>'Silumos kaina'!E332</f>
        <v>#REF!</v>
      </c>
    </row>
    <row r="118" spans="1:5" ht="15" hidden="1">
      <c r="A118" s="131" t="s">
        <v>72</v>
      </c>
      <c r="B118" s="60" t="s">
        <v>114</v>
      </c>
      <c r="C118" s="63" t="s">
        <v>110</v>
      </c>
      <c r="D118" s="132" t="s">
        <v>143</v>
      </c>
      <c r="E118" s="128">
        <v>6.58</v>
      </c>
    </row>
    <row r="119" spans="1:5" ht="15" hidden="1">
      <c r="A119" s="133" t="s">
        <v>115</v>
      </c>
      <c r="B119" s="60" t="s">
        <v>116</v>
      </c>
      <c r="C119" s="64" t="s">
        <v>110</v>
      </c>
      <c r="D119" s="57" t="s">
        <v>143</v>
      </c>
      <c r="E119" s="134">
        <v>11.21</v>
      </c>
    </row>
    <row r="120" spans="1:5" ht="15" hidden="1">
      <c r="A120" s="135" t="s">
        <v>84</v>
      </c>
      <c r="B120" s="72" t="s">
        <v>117</v>
      </c>
      <c r="C120" s="64" t="s">
        <v>110</v>
      </c>
      <c r="D120" s="98" t="s">
        <v>121</v>
      </c>
      <c r="E120" s="136">
        <f>E115+E116</f>
        <v>22.459999999999997</v>
      </c>
    </row>
    <row r="121" spans="1:5" ht="15" hidden="1">
      <c r="A121" s="135" t="s">
        <v>85</v>
      </c>
      <c r="B121" s="73" t="s">
        <v>118</v>
      </c>
      <c r="C121" s="64" t="s">
        <v>110</v>
      </c>
      <c r="D121" s="70"/>
      <c r="E121" s="129">
        <f>E120*1.09</f>
        <v>24.481399999999997</v>
      </c>
    </row>
    <row r="122" spans="1:7" ht="15" hidden="1">
      <c r="A122" s="135" t="s">
        <v>87</v>
      </c>
      <c r="B122" s="73" t="s">
        <v>119</v>
      </c>
      <c r="C122" s="64" t="s">
        <v>110</v>
      </c>
      <c r="D122" s="58"/>
      <c r="E122" s="137">
        <f>E88</f>
        <v>22.549999999999997</v>
      </c>
      <c r="G122">
        <v>230.75</v>
      </c>
    </row>
    <row r="123" spans="1:7" ht="15.75" hidden="1" thickBot="1">
      <c r="A123" s="138" t="s">
        <v>89</v>
      </c>
      <c r="B123" s="139" t="s">
        <v>120</v>
      </c>
      <c r="C123" s="140" t="s">
        <v>95</v>
      </c>
      <c r="D123" s="141"/>
      <c r="E123" s="142">
        <f>(E120/E122)*100-100</f>
        <v>-0.3991130820399178</v>
      </c>
      <c r="G123">
        <v>196.43</v>
      </c>
    </row>
    <row r="124" ht="15" hidden="1"/>
    <row r="125" ht="15" hidden="1"/>
    <row r="126" spans="2:7" ht="15" hidden="1">
      <c r="B126" t="s">
        <v>144</v>
      </c>
      <c r="C126" t="s">
        <v>148</v>
      </c>
      <c r="D126" s="101" t="s">
        <v>145</v>
      </c>
      <c r="G126" s="143">
        <f>G122/G123*100-100</f>
        <v>17.471872931833204</v>
      </c>
    </row>
    <row r="127" ht="15" hidden="1">
      <c r="C127" s="108" t="s">
        <v>149</v>
      </c>
    </row>
    <row r="128" ht="15" hidden="1"/>
    <row r="129" ht="15" hidden="1"/>
    <row r="130" spans="1:5" ht="12" customHeight="1" hidden="1">
      <c r="A130" s="87" t="s">
        <v>0</v>
      </c>
      <c r="B130" s="87"/>
      <c r="E130" s="87" t="s">
        <v>141</v>
      </c>
    </row>
    <row r="131" spans="1:4" ht="12" customHeight="1" hidden="1">
      <c r="A131" s="87" t="s">
        <v>1</v>
      </c>
      <c r="B131" s="87"/>
      <c r="D131" s="87" t="s">
        <v>133</v>
      </c>
    </row>
    <row r="132" spans="1:4" ht="12" customHeight="1" hidden="1">
      <c r="A132" s="87" t="s">
        <v>2</v>
      </c>
      <c r="B132" s="87"/>
      <c r="D132" s="87" t="s">
        <v>122</v>
      </c>
    </row>
    <row r="133" spans="1:4" ht="12" customHeight="1" hidden="1">
      <c r="A133" s="87" t="s">
        <v>3</v>
      </c>
      <c r="B133" s="87"/>
      <c r="D133" s="87" t="s">
        <v>123</v>
      </c>
    </row>
    <row r="134" spans="1:4" ht="12" customHeight="1" hidden="1">
      <c r="A134" s="87" t="s">
        <v>4</v>
      </c>
      <c r="B134" s="87"/>
      <c r="D134" s="87" t="s">
        <v>124</v>
      </c>
    </row>
    <row r="135" spans="1:4" ht="12" customHeight="1" hidden="1">
      <c r="A135" s="87" t="s">
        <v>5</v>
      </c>
      <c r="B135" s="87"/>
      <c r="D135" s="87" t="s">
        <v>125</v>
      </c>
    </row>
    <row r="136" ht="15" hidden="1"/>
    <row r="137" spans="1:5" ht="15.75" hidden="1">
      <c r="A137" s="96"/>
      <c r="B137" s="96" t="s">
        <v>162</v>
      </c>
      <c r="C137" s="96"/>
      <c r="D137" s="96"/>
      <c r="E137" s="96"/>
    </row>
    <row r="138" spans="3:4" ht="15" hidden="1">
      <c r="C138" s="103">
        <v>41598</v>
      </c>
      <c r="D138" s="97"/>
    </row>
    <row r="139" ht="15" hidden="1">
      <c r="C139" s="102" t="s">
        <v>146</v>
      </c>
    </row>
    <row r="140" spans="1:2" ht="15" hidden="1">
      <c r="A140" s="2" t="s">
        <v>6</v>
      </c>
      <c r="B140" s="2"/>
    </row>
    <row r="141" spans="1:2" ht="15" hidden="1">
      <c r="A141" s="1" t="s">
        <v>150</v>
      </c>
      <c r="B141" s="1"/>
    </row>
    <row r="142" spans="1:2" ht="15" hidden="1">
      <c r="A142" s="1" t="s">
        <v>7</v>
      </c>
      <c r="B142" s="1"/>
    </row>
    <row r="143" ht="15.75" hidden="1" thickBot="1">
      <c r="A143" t="s">
        <v>158</v>
      </c>
    </row>
    <row r="144" spans="1:5" ht="15" hidden="1">
      <c r="A144" s="117" t="s">
        <v>8</v>
      </c>
      <c r="B144" s="118" t="s">
        <v>9</v>
      </c>
      <c r="C144" s="118" t="s">
        <v>10</v>
      </c>
      <c r="D144" s="118" t="s">
        <v>11</v>
      </c>
      <c r="E144" s="120" t="s">
        <v>12</v>
      </c>
    </row>
    <row r="145" spans="1:5" ht="15" hidden="1">
      <c r="A145" s="160" t="s">
        <v>166</v>
      </c>
      <c r="B145" s="599" t="s">
        <v>171</v>
      </c>
      <c r="C145" s="596"/>
      <c r="D145" s="596"/>
      <c r="E145" s="598"/>
    </row>
    <row r="146" spans="1:5" ht="15" hidden="1">
      <c r="A146" s="127" t="s">
        <v>15</v>
      </c>
      <c r="B146" s="24" t="s">
        <v>109</v>
      </c>
      <c r="C146" s="99" t="s">
        <v>110</v>
      </c>
      <c r="D146" s="151" t="s">
        <v>111</v>
      </c>
      <c r="E146" s="156">
        <v>0.97</v>
      </c>
    </row>
    <row r="147" spans="1:5" ht="15" hidden="1">
      <c r="A147" s="127" t="s">
        <v>21</v>
      </c>
      <c r="B147" s="65" t="s">
        <v>112</v>
      </c>
      <c r="C147" s="99" t="s">
        <v>110</v>
      </c>
      <c r="D147" s="151" t="s">
        <v>142</v>
      </c>
      <c r="E147" s="144">
        <v>21.27</v>
      </c>
    </row>
    <row r="148" spans="1:5" ht="15" hidden="1">
      <c r="A148" s="157" t="s">
        <v>60</v>
      </c>
      <c r="B148" s="60" t="s">
        <v>113</v>
      </c>
      <c r="C148" s="11" t="s">
        <v>59</v>
      </c>
      <c r="D148" s="60"/>
      <c r="E148" s="129" t="e">
        <f>'Silumos kaina'!E423</f>
        <v>#REF!</v>
      </c>
    </row>
    <row r="149" spans="1:5" ht="15" hidden="1">
      <c r="A149" s="157" t="s">
        <v>72</v>
      </c>
      <c r="B149" s="60" t="s">
        <v>114</v>
      </c>
      <c r="C149" s="99" t="s">
        <v>110</v>
      </c>
      <c r="D149" s="99" t="s">
        <v>143</v>
      </c>
      <c r="E149" s="128">
        <v>6.58</v>
      </c>
    </row>
    <row r="150" spans="1:5" ht="15" hidden="1">
      <c r="A150" s="157" t="s">
        <v>115</v>
      </c>
      <c r="B150" s="60" t="s">
        <v>116</v>
      </c>
      <c r="C150" s="99" t="s">
        <v>110</v>
      </c>
      <c r="D150" s="99" t="s">
        <v>143</v>
      </c>
      <c r="E150" s="158">
        <v>11.21</v>
      </c>
    </row>
    <row r="151" spans="1:5" ht="15" hidden="1">
      <c r="A151" s="135" t="s">
        <v>84</v>
      </c>
      <c r="B151" s="152" t="s">
        <v>117</v>
      </c>
      <c r="C151" s="99" t="s">
        <v>110</v>
      </c>
      <c r="D151" s="151" t="s">
        <v>121</v>
      </c>
      <c r="E151" s="136">
        <f>E146+E147</f>
        <v>22.24</v>
      </c>
    </row>
    <row r="152" spans="1:5" ht="15" hidden="1">
      <c r="A152" s="135" t="s">
        <v>85</v>
      </c>
      <c r="B152" s="152" t="s">
        <v>118</v>
      </c>
      <c r="C152" s="99" t="s">
        <v>110</v>
      </c>
      <c r="D152" s="65"/>
      <c r="E152" s="129">
        <f>E151*1.09</f>
        <v>24.241600000000002</v>
      </c>
    </row>
    <row r="153" spans="1:5" ht="15" hidden="1">
      <c r="A153" s="135" t="s">
        <v>87</v>
      </c>
      <c r="B153" s="152" t="s">
        <v>119</v>
      </c>
      <c r="C153" s="99" t="s">
        <v>110</v>
      </c>
      <c r="D153" s="65"/>
      <c r="E153" s="137">
        <f>E120</f>
        <v>22.459999999999997</v>
      </c>
    </row>
    <row r="154" spans="1:5" ht="15" hidden="1">
      <c r="A154" s="135" t="s">
        <v>89</v>
      </c>
      <c r="B154" s="153" t="s">
        <v>120</v>
      </c>
      <c r="C154" s="76" t="s">
        <v>95</v>
      </c>
      <c r="D154" s="65"/>
      <c r="E154" s="129">
        <f>(E151/E153)*100-100</f>
        <v>-0.9795191451469236</v>
      </c>
    </row>
    <row r="155" spans="1:5" ht="15" hidden="1">
      <c r="A155" s="159" t="s">
        <v>167</v>
      </c>
      <c r="B155" s="600" t="s">
        <v>164</v>
      </c>
      <c r="C155" s="582"/>
      <c r="D155" s="582"/>
      <c r="E155" s="584"/>
    </row>
    <row r="156" spans="1:5" ht="15" hidden="1">
      <c r="A156" s="127" t="s">
        <v>15</v>
      </c>
      <c r="B156" s="44" t="s">
        <v>109</v>
      </c>
      <c r="C156" s="148" t="s">
        <v>110</v>
      </c>
      <c r="D156" s="149" t="s">
        <v>111</v>
      </c>
      <c r="E156" s="150">
        <v>0.97</v>
      </c>
    </row>
    <row r="157" spans="1:5" ht="15" hidden="1">
      <c r="A157" s="123" t="s">
        <v>21</v>
      </c>
      <c r="B157" s="65" t="s">
        <v>112</v>
      </c>
      <c r="C157" s="61" t="s">
        <v>110</v>
      </c>
      <c r="D157" s="98" t="s">
        <v>165</v>
      </c>
      <c r="E157" s="144">
        <v>20.77</v>
      </c>
    </row>
    <row r="158" spans="1:5" ht="15" hidden="1">
      <c r="A158" s="135" t="s">
        <v>60</v>
      </c>
      <c r="B158" s="72" t="s">
        <v>117</v>
      </c>
      <c r="C158" s="64" t="s">
        <v>110</v>
      </c>
      <c r="D158" s="98" t="s">
        <v>121</v>
      </c>
      <c r="E158" s="136">
        <f>E156+E157</f>
        <v>21.74</v>
      </c>
    </row>
    <row r="159" spans="1:5" ht="15.75" hidden="1" thickBot="1">
      <c r="A159" s="138" t="s">
        <v>72</v>
      </c>
      <c r="B159" s="145" t="s">
        <v>118</v>
      </c>
      <c r="C159" s="146" t="s">
        <v>110</v>
      </c>
      <c r="D159" s="141"/>
      <c r="E159" s="147">
        <f>E158*1.21</f>
        <v>26.3054</v>
      </c>
    </row>
    <row r="160" ht="15" hidden="1"/>
    <row r="161" spans="2:4" ht="15" hidden="1">
      <c r="B161" t="s">
        <v>144</v>
      </c>
      <c r="C161" t="s">
        <v>148</v>
      </c>
      <c r="D161" s="101" t="s">
        <v>145</v>
      </c>
    </row>
    <row r="162" ht="15" hidden="1">
      <c r="C162" s="108" t="s">
        <v>149</v>
      </c>
    </row>
    <row r="163" spans="1:5" ht="10.5" customHeight="1" hidden="1">
      <c r="A163" s="87" t="s">
        <v>0</v>
      </c>
      <c r="B163" s="87"/>
      <c r="E163" s="87" t="s">
        <v>141</v>
      </c>
    </row>
    <row r="164" spans="1:4" ht="10.5" customHeight="1" hidden="1">
      <c r="A164" s="87" t="s">
        <v>1</v>
      </c>
      <c r="B164" s="87"/>
      <c r="D164" s="87" t="s">
        <v>133</v>
      </c>
    </row>
    <row r="165" spans="1:4" ht="10.5" customHeight="1" hidden="1">
      <c r="A165" s="87" t="s">
        <v>2</v>
      </c>
      <c r="B165" s="87"/>
      <c r="D165" s="87" t="s">
        <v>122</v>
      </c>
    </row>
    <row r="166" spans="1:4" ht="10.5" customHeight="1" hidden="1">
      <c r="A166" s="87" t="s">
        <v>3</v>
      </c>
      <c r="B166" s="87"/>
      <c r="D166" s="87" t="s">
        <v>123</v>
      </c>
    </row>
    <row r="167" spans="1:4" ht="10.5" customHeight="1" hidden="1">
      <c r="A167" s="87" t="s">
        <v>4</v>
      </c>
      <c r="B167" s="87"/>
      <c r="D167" s="87" t="s">
        <v>124</v>
      </c>
    </row>
    <row r="168" spans="1:4" ht="10.5" customHeight="1" hidden="1">
      <c r="A168" s="87" t="s">
        <v>5</v>
      </c>
      <c r="B168" s="87"/>
      <c r="D168" s="87" t="s">
        <v>125</v>
      </c>
    </row>
    <row r="169" ht="15" hidden="1"/>
    <row r="170" spans="1:5" ht="15.75" hidden="1">
      <c r="A170" s="96"/>
      <c r="B170" s="96" t="s">
        <v>173</v>
      </c>
      <c r="C170" s="96"/>
      <c r="D170" s="96"/>
      <c r="E170" s="96"/>
    </row>
    <row r="171" spans="3:4" ht="15" hidden="1">
      <c r="C171" s="103">
        <v>41627</v>
      </c>
      <c r="D171" s="97"/>
    </row>
    <row r="172" ht="15" hidden="1">
      <c r="C172" s="102" t="s">
        <v>146</v>
      </c>
    </row>
    <row r="173" spans="1:2" ht="15" hidden="1">
      <c r="A173" s="2" t="s">
        <v>6</v>
      </c>
      <c r="B173" s="2"/>
    </row>
    <row r="174" spans="1:2" ht="15" hidden="1">
      <c r="A174" s="1" t="s">
        <v>150</v>
      </c>
      <c r="B174" s="1"/>
    </row>
    <row r="175" spans="1:2" ht="15" hidden="1">
      <c r="A175" s="1" t="s">
        <v>7</v>
      </c>
      <c r="B175" s="1"/>
    </row>
    <row r="176" ht="15.75" hidden="1" thickBot="1">
      <c r="A176" t="s">
        <v>158</v>
      </c>
    </row>
    <row r="177" spans="1:5" ht="15" hidden="1">
      <c r="A177" s="117" t="s">
        <v>8</v>
      </c>
      <c r="B177" s="118" t="s">
        <v>9</v>
      </c>
      <c r="C177" s="118" t="s">
        <v>10</v>
      </c>
      <c r="D177" s="118" t="s">
        <v>11</v>
      </c>
      <c r="E177" s="120" t="s">
        <v>12</v>
      </c>
    </row>
    <row r="178" spans="1:5" ht="15" hidden="1">
      <c r="A178" s="160" t="s">
        <v>166</v>
      </c>
      <c r="B178" s="599" t="s">
        <v>171</v>
      </c>
      <c r="C178" s="596"/>
      <c r="D178" s="596"/>
      <c r="E178" s="598"/>
    </row>
    <row r="179" spans="1:5" ht="15" hidden="1">
      <c r="A179" s="127" t="s">
        <v>15</v>
      </c>
      <c r="B179" s="24" t="s">
        <v>109</v>
      </c>
      <c r="C179" s="99" t="s">
        <v>110</v>
      </c>
      <c r="D179" s="151" t="s">
        <v>111</v>
      </c>
      <c r="E179" s="156">
        <v>0.97</v>
      </c>
    </row>
    <row r="180" spans="1:5" ht="15" hidden="1">
      <c r="A180" s="127" t="s">
        <v>21</v>
      </c>
      <c r="B180" s="65" t="s">
        <v>112</v>
      </c>
      <c r="C180" s="99" t="s">
        <v>110</v>
      </c>
      <c r="D180" s="151" t="s">
        <v>142</v>
      </c>
      <c r="E180" s="144">
        <v>21.5</v>
      </c>
    </row>
    <row r="181" spans="1:5" ht="15" hidden="1">
      <c r="A181" s="157" t="s">
        <v>60</v>
      </c>
      <c r="B181" s="60" t="s">
        <v>113</v>
      </c>
      <c r="C181" s="11" t="s">
        <v>59</v>
      </c>
      <c r="D181" s="60"/>
      <c r="E181" s="129" t="e">
        <f>'Silumos kaina'!E512</f>
        <v>#REF!</v>
      </c>
    </row>
    <row r="182" spans="1:5" ht="15" hidden="1">
      <c r="A182" s="157" t="s">
        <v>72</v>
      </c>
      <c r="B182" s="60" t="s">
        <v>114</v>
      </c>
      <c r="C182" s="99" t="s">
        <v>110</v>
      </c>
      <c r="D182" s="99" t="s">
        <v>143</v>
      </c>
      <c r="E182" s="128">
        <v>6.58</v>
      </c>
    </row>
    <row r="183" spans="1:5" ht="15" hidden="1">
      <c r="A183" s="157" t="s">
        <v>115</v>
      </c>
      <c r="B183" s="60" t="s">
        <v>116</v>
      </c>
      <c r="C183" s="99" t="s">
        <v>110</v>
      </c>
      <c r="D183" s="99" t="s">
        <v>143</v>
      </c>
      <c r="E183" s="158">
        <v>11.21</v>
      </c>
    </row>
    <row r="184" spans="1:5" ht="15" hidden="1">
      <c r="A184" s="135" t="s">
        <v>84</v>
      </c>
      <c r="B184" s="152" t="s">
        <v>117</v>
      </c>
      <c r="C184" s="99" t="s">
        <v>110</v>
      </c>
      <c r="D184" s="151" t="s">
        <v>121</v>
      </c>
      <c r="E184" s="136">
        <f>E179+E180</f>
        <v>22.47</v>
      </c>
    </row>
    <row r="185" spans="1:5" ht="15" hidden="1">
      <c r="A185" s="135" t="s">
        <v>85</v>
      </c>
      <c r="B185" s="152" t="s">
        <v>118</v>
      </c>
      <c r="C185" s="99" t="s">
        <v>110</v>
      </c>
      <c r="D185" s="65"/>
      <c r="E185" s="129">
        <f>E184*1.09</f>
        <v>24.4923</v>
      </c>
    </row>
    <row r="186" spans="1:5" ht="15" hidden="1">
      <c r="A186" s="135" t="s">
        <v>87</v>
      </c>
      <c r="B186" s="152" t="s">
        <v>119</v>
      </c>
      <c r="C186" s="99" t="s">
        <v>110</v>
      </c>
      <c r="D186" s="65"/>
      <c r="E186" s="137">
        <f>E151</f>
        <v>22.24</v>
      </c>
    </row>
    <row r="187" spans="1:5" ht="15" hidden="1">
      <c r="A187" s="135" t="s">
        <v>89</v>
      </c>
      <c r="B187" s="153" t="s">
        <v>120</v>
      </c>
      <c r="C187" s="76" t="s">
        <v>95</v>
      </c>
      <c r="D187" s="65"/>
      <c r="E187" s="129">
        <f>(E184/E186)*100-100</f>
        <v>1.0341726618705138</v>
      </c>
    </row>
    <row r="188" spans="1:5" ht="15" hidden="1">
      <c r="A188" s="159" t="s">
        <v>167</v>
      </c>
      <c r="B188" s="600" t="s">
        <v>164</v>
      </c>
      <c r="C188" s="582"/>
      <c r="D188" s="582"/>
      <c r="E188" s="584"/>
    </row>
    <row r="189" spans="1:5" ht="15" hidden="1">
      <c r="A189" s="127" t="s">
        <v>15</v>
      </c>
      <c r="B189" s="44" t="s">
        <v>109</v>
      </c>
      <c r="C189" s="148" t="s">
        <v>110</v>
      </c>
      <c r="D189" s="149" t="s">
        <v>111</v>
      </c>
      <c r="E189" s="150">
        <v>0.97</v>
      </c>
    </row>
    <row r="190" spans="1:5" ht="15" hidden="1">
      <c r="A190" s="123" t="s">
        <v>21</v>
      </c>
      <c r="B190" s="65" t="s">
        <v>112</v>
      </c>
      <c r="C190" s="61" t="s">
        <v>110</v>
      </c>
      <c r="D190" s="98" t="s">
        <v>165</v>
      </c>
      <c r="E190" s="144">
        <f>28.04/100*51+6.58+0.11</f>
        <v>20.9904</v>
      </c>
    </row>
    <row r="191" spans="1:5" ht="15" hidden="1">
      <c r="A191" s="135" t="s">
        <v>60</v>
      </c>
      <c r="B191" s="72" t="s">
        <v>117</v>
      </c>
      <c r="C191" s="64" t="s">
        <v>110</v>
      </c>
      <c r="D191" s="98" t="s">
        <v>121</v>
      </c>
      <c r="E191" s="136">
        <f>E189+E190</f>
        <v>21.9604</v>
      </c>
    </row>
    <row r="192" spans="1:5" ht="15.75" hidden="1" thickBot="1">
      <c r="A192" s="138" t="s">
        <v>72</v>
      </c>
      <c r="B192" s="145" t="s">
        <v>118</v>
      </c>
      <c r="C192" s="146" t="s">
        <v>110</v>
      </c>
      <c r="D192" s="141"/>
      <c r="E192" s="147">
        <f>E191*1.21</f>
        <v>26.572084</v>
      </c>
    </row>
    <row r="193" ht="15" hidden="1"/>
    <row r="194" spans="2:4" ht="15" hidden="1">
      <c r="B194" t="s">
        <v>144</v>
      </c>
      <c r="C194" t="s">
        <v>148</v>
      </c>
      <c r="D194" s="101" t="s">
        <v>145</v>
      </c>
    </row>
    <row r="195" ht="15" hidden="1">
      <c r="C195" s="108" t="s">
        <v>149</v>
      </c>
    </row>
    <row r="196" spans="1:5" ht="14.25" customHeight="1" hidden="1">
      <c r="A196" s="87" t="s">
        <v>0</v>
      </c>
      <c r="B196" s="87"/>
      <c r="E196" s="87" t="s">
        <v>141</v>
      </c>
    </row>
    <row r="197" spans="1:4" ht="14.25" customHeight="1" hidden="1">
      <c r="A197" s="87" t="s">
        <v>1</v>
      </c>
      <c r="B197" s="87"/>
      <c r="D197" s="87" t="s">
        <v>133</v>
      </c>
    </row>
    <row r="198" spans="1:4" ht="14.25" customHeight="1" hidden="1">
      <c r="A198" s="87" t="s">
        <v>2</v>
      </c>
      <c r="B198" s="87"/>
      <c r="D198" s="87" t="s">
        <v>122</v>
      </c>
    </row>
    <row r="199" spans="1:4" ht="14.25" customHeight="1" hidden="1">
      <c r="A199" s="87" t="s">
        <v>3</v>
      </c>
      <c r="B199" s="87"/>
      <c r="D199" s="87" t="s">
        <v>123</v>
      </c>
    </row>
    <row r="200" spans="1:4" ht="14.25" customHeight="1" hidden="1">
      <c r="A200" s="87" t="s">
        <v>4</v>
      </c>
      <c r="B200" s="87"/>
      <c r="D200" s="87" t="s">
        <v>124</v>
      </c>
    </row>
    <row r="201" spans="1:4" ht="14.25" customHeight="1" hidden="1">
      <c r="A201" s="87" t="s">
        <v>5</v>
      </c>
      <c r="B201" s="87"/>
      <c r="D201" s="87" t="s">
        <v>125</v>
      </c>
    </row>
    <row r="202" ht="12" customHeight="1" hidden="1"/>
    <row r="203" spans="1:5" ht="15.75" hidden="1">
      <c r="A203" s="96"/>
      <c r="B203" s="96" t="s">
        <v>175</v>
      </c>
      <c r="C203" s="96"/>
      <c r="D203" s="96"/>
      <c r="E203" s="96"/>
    </row>
    <row r="204" spans="3:4" ht="12.75" customHeight="1" hidden="1">
      <c r="C204" s="103">
        <v>41659</v>
      </c>
      <c r="D204" s="97"/>
    </row>
    <row r="205" ht="12" customHeight="1" hidden="1">
      <c r="C205" s="102" t="s">
        <v>146</v>
      </c>
    </row>
    <row r="206" spans="1:2" ht="15" hidden="1">
      <c r="A206" s="2" t="s">
        <v>6</v>
      </c>
      <c r="B206" s="2"/>
    </row>
    <row r="207" spans="1:2" ht="15" hidden="1">
      <c r="A207" s="1" t="s">
        <v>150</v>
      </c>
      <c r="B207" s="1"/>
    </row>
    <row r="208" spans="1:2" ht="15" hidden="1">
      <c r="A208" s="1" t="s">
        <v>7</v>
      </c>
      <c r="B208" s="1"/>
    </row>
    <row r="209" ht="15.75" hidden="1" thickBot="1">
      <c r="A209" t="s">
        <v>158</v>
      </c>
    </row>
    <row r="210" spans="1:5" ht="15" hidden="1">
      <c r="A210" s="117" t="s">
        <v>8</v>
      </c>
      <c r="B210" s="118" t="s">
        <v>9</v>
      </c>
      <c r="C210" s="118" t="s">
        <v>10</v>
      </c>
      <c r="D210" s="118" t="s">
        <v>11</v>
      </c>
      <c r="E210" s="120" t="s">
        <v>12</v>
      </c>
    </row>
    <row r="211" spans="1:5" ht="15" hidden="1">
      <c r="A211" s="160" t="s">
        <v>166</v>
      </c>
      <c r="B211" s="599" t="s">
        <v>171</v>
      </c>
      <c r="C211" s="596"/>
      <c r="D211" s="596"/>
      <c r="E211" s="598"/>
    </row>
    <row r="212" spans="1:5" ht="15" hidden="1">
      <c r="A212" s="127" t="s">
        <v>15</v>
      </c>
      <c r="B212" s="24" t="s">
        <v>109</v>
      </c>
      <c r="C212" s="99" t="s">
        <v>110</v>
      </c>
      <c r="D212" s="151" t="s">
        <v>111</v>
      </c>
      <c r="E212" s="156">
        <v>0.97</v>
      </c>
    </row>
    <row r="213" spans="1:5" ht="15" hidden="1">
      <c r="A213" s="127" t="s">
        <v>21</v>
      </c>
      <c r="B213" s="65" t="s">
        <v>112</v>
      </c>
      <c r="C213" s="99" t="s">
        <v>110</v>
      </c>
      <c r="D213" s="151" t="s">
        <v>142</v>
      </c>
      <c r="E213" s="144">
        <v>21.37</v>
      </c>
    </row>
    <row r="214" spans="1:5" ht="15" hidden="1">
      <c r="A214" s="157" t="s">
        <v>60</v>
      </c>
      <c r="B214" s="60" t="s">
        <v>113</v>
      </c>
      <c r="C214" s="11" t="s">
        <v>59</v>
      </c>
      <c r="D214" s="60"/>
      <c r="E214" s="129" t="e">
        <f>'Silumos kaina'!E607</f>
        <v>#REF!</v>
      </c>
    </row>
    <row r="215" spans="1:5" ht="15" hidden="1">
      <c r="A215" s="157" t="s">
        <v>72</v>
      </c>
      <c r="B215" s="60" t="s">
        <v>114</v>
      </c>
      <c r="C215" s="99" t="s">
        <v>110</v>
      </c>
      <c r="D215" s="99" t="s">
        <v>143</v>
      </c>
      <c r="E215" s="128">
        <v>6.58</v>
      </c>
    </row>
    <row r="216" spans="1:5" ht="15" hidden="1">
      <c r="A216" s="157" t="s">
        <v>115</v>
      </c>
      <c r="B216" s="60" t="s">
        <v>116</v>
      </c>
      <c r="C216" s="99" t="s">
        <v>110</v>
      </c>
      <c r="D216" s="99" t="s">
        <v>143</v>
      </c>
      <c r="E216" s="158">
        <v>11.21</v>
      </c>
    </row>
    <row r="217" spans="1:5" ht="15" hidden="1">
      <c r="A217" s="135" t="s">
        <v>84</v>
      </c>
      <c r="B217" s="152" t="s">
        <v>117</v>
      </c>
      <c r="C217" s="99" t="s">
        <v>110</v>
      </c>
      <c r="D217" s="151" t="s">
        <v>121</v>
      </c>
      <c r="E217" s="136">
        <f>E212+E213</f>
        <v>22.34</v>
      </c>
    </row>
    <row r="218" spans="1:5" ht="15" hidden="1">
      <c r="A218" s="135" t="s">
        <v>85</v>
      </c>
      <c r="B218" s="152" t="s">
        <v>118</v>
      </c>
      <c r="C218" s="99" t="s">
        <v>110</v>
      </c>
      <c r="D218" s="65"/>
      <c r="E218" s="129">
        <f>E217*1.09</f>
        <v>24.3506</v>
      </c>
    </row>
    <row r="219" spans="1:5" ht="15" hidden="1">
      <c r="A219" s="135" t="s">
        <v>87</v>
      </c>
      <c r="B219" s="152" t="s">
        <v>119</v>
      </c>
      <c r="C219" s="99" t="s">
        <v>110</v>
      </c>
      <c r="D219" s="65"/>
      <c r="E219" s="137">
        <f>E184</f>
        <v>22.47</v>
      </c>
    </row>
    <row r="220" spans="1:5" ht="15" hidden="1">
      <c r="A220" s="135" t="s">
        <v>89</v>
      </c>
      <c r="B220" s="153" t="s">
        <v>120</v>
      </c>
      <c r="C220" s="76" t="s">
        <v>95</v>
      </c>
      <c r="D220" s="65"/>
      <c r="E220" s="129">
        <f>(E217/E219)*100-100</f>
        <v>-0.5785491766800135</v>
      </c>
    </row>
    <row r="221" spans="1:5" ht="15" hidden="1">
      <c r="A221" s="159" t="s">
        <v>167</v>
      </c>
      <c r="B221" s="600" t="s">
        <v>164</v>
      </c>
      <c r="C221" s="582"/>
      <c r="D221" s="582"/>
      <c r="E221" s="584"/>
    </row>
    <row r="222" spans="1:5" ht="15" hidden="1">
      <c r="A222" s="127" t="s">
        <v>15</v>
      </c>
      <c r="B222" s="44" t="s">
        <v>109</v>
      </c>
      <c r="C222" s="148" t="s">
        <v>110</v>
      </c>
      <c r="D222" s="149" t="s">
        <v>111</v>
      </c>
      <c r="E222" s="150">
        <v>0.97</v>
      </c>
    </row>
    <row r="223" spans="1:5" ht="15" hidden="1">
      <c r="A223" s="123" t="s">
        <v>21</v>
      </c>
      <c r="B223" s="65" t="s">
        <v>112</v>
      </c>
      <c r="C223" s="61" t="s">
        <v>110</v>
      </c>
      <c r="D223" s="98" t="s">
        <v>165</v>
      </c>
      <c r="E223" s="144">
        <f>27.79/100*51+6.58+0.11</f>
        <v>20.862899999999996</v>
      </c>
    </row>
    <row r="224" spans="1:5" ht="15" hidden="1">
      <c r="A224" s="135" t="s">
        <v>60</v>
      </c>
      <c r="B224" s="72" t="s">
        <v>117</v>
      </c>
      <c r="C224" s="64" t="s">
        <v>110</v>
      </c>
      <c r="D224" s="98" t="s">
        <v>121</v>
      </c>
      <c r="E224" s="136">
        <f>E222+E223</f>
        <v>21.832899999999995</v>
      </c>
    </row>
    <row r="225" spans="1:5" ht="15.75" hidden="1" thickBot="1">
      <c r="A225" s="138" t="s">
        <v>72</v>
      </c>
      <c r="B225" s="145" t="s">
        <v>118</v>
      </c>
      <c r="C225" s="146" t="s">
        <v>110</v>
      </c>
      <c r="D225" s="141"/>
      <c r="E225" s="147">
        <f>E224*1.21</f>
        <v>26.417808999999995</v>
      </c>
    </row>
    <row r="226" ht="12" customHeight="1" hidden="1"/>
    <row r="227" spans="2:4" ht="15" hidden="1">
      <c r="B227" t="s">
        <v>144</v>
      </c>
      <c r="C227" t="s">
        <v>148</v>
      </c>
      <c r="D227" s="101" t="s">
        <v>145</v>
      </c>
    </row>
    <row r="228" ht="15" hidden="1">
      <c r="C228" s="108" t="s">
        <v>149</v>
      </c>
    </row>
    <row r="229" ht="15" hidden="1">
      <c r="C229" s="108"/>
    </row>
    <row r="230" ht="15" hidden="1">
      <c r="C230" s="108"/>
    </row>
    <row r="231" spans="1:5" ht="15" hidden="1">
      <c r="A231" s="87" t="s">
        <v>0</v>
      </c>
      <c r="B231" s="87"/>
      <c r="E231" s="87" t="s">
        <v>141</v>
      </c>
    </row>
    <row r="232" spans="1:4" ht="15" hidden="1">
      <c r="A232" s="87" t="s">
        <v>1</v>
      </c>
      <c r="B232" s="87"/>
      <c r="D232" s="87" t="s">
        <v>133</v>
      </c>
    </row>
    <row r="233" spans="1:4" ht="15" hidden="1">
      <c r="A233" s="87" t="s">
        <v>2</v>
      </c>
      <c r="B233" s="87"/>
      <c r="D233" s="87" t="s">
        <v>122</v>
      </c>
    </row>
    <row r="234" spans="1:4" ht="15" hidden="1">
      <c r="A234" s="87" t="s">
        <v>3</v>
      </c>
      <c r="B234" s="87"/>
      <c r="D234" s="87" t="s">
        <v>123</v>
      </c>
    </row>
    <row r="235" spans="1:4" ht="15" hidden="1">
      <c r="A235" s="87" t="s">
        <v>4</v>
      </c>
      <c r="B235" s="87"/>
      <c r="D235" s="87" t="s">
        <v>124</v>
      </c>
    </row>
    <row r="236" spans="1:4" ht="15" hidden="1">
      <c r="A236" s="87" t="s">
        <v>5</v>
      </c>
      <c r="B236" s="87"/>
      <c r="D236" s="87" t="s">
        <v>125</v>
      </c>
    </row>
    <row r="237" ht="12" customHeight="1" hidden="1"/>
    <row r="238" spans="1:5" ht="15.75" hidden="1">
      <c r="A238" s="96"/>
      <c r="B238" s="96" t="s">
        <v>181</v>
      </c>
      <c r="C238" s="96"/>
      <c r="D238" s="96"/>
      <c r="E238" s="96"/>
    </row>
    <row r="239" spans="3:4" ht="12" customHeight="1" hidden="1">
      <c r="C239" s="175">
        <v>41690</v>
      </c>
      <c r="D239" s="97"/>
    </row>
    <row r="240" ht="12" customHeight="1" hidden="1">
      <c r="C240" s="102" t="s">
        <v>146</v>
      </c>
    </row>
    <row r="241" spans="1:2" ht="15" hidden="1">
      <c r="A241" s="2" t="s">
        <v>6</v>
      </c>
      <c r="B241" s="2"/>
    </row>
    <row r="242" spans="1:2" ht="15" hidden="1">
      <c r="A242" s="1" t="s">
        <v>150</v>
      </c>
      <c r="B242" s="1"/>
    </row>
    <row r="243" spans="1:2" ht="15" hidden="1">
      <c r="A243" s="1" t="s">
        <v>7</v>
      </c>
      <c r="B243" s="1"/>
    </row>
    <row r="244" ht="15.75" hidden="1" thickBot="1">
      <c r="A244" t="s">
        <v>158</v>
      </c>
    </row>
    <row r="245" spans="1:5" ht="15" hidden="1">
      <c r="A245" s="117" t="s">
        <v>8</v>
      </c>
      <c r="B245" s="118" t="s">
        <v>9</v>
      </c>
      <c r="C245" s="118" t="s">
        <v>10</v>
      </c>
      <c r="D245" s="118" t="s">
        <v>11</v>
      </c>
      <c r="E245" s="120" t="s">
        <v>12</v>
      </c>
    </row>
    <row r="246" spans="1:5" ht="15" hidden="1">
      <c r="A246" s="160" t="s">
        <v>166</v>
      </c>
      <c r="B246" s="599" t="s">
        <v>171</v>
      </c>
      <c r="C246" s="596"/>
      <c r="D246" s="596"/>
      <c r="E246" s="598"/>
    </row>
    <row r="247" spans="1:5" ht="15" hidden="1">
      <c r="A247" s="127" t="s">
        <v>15</v>
      </c>
      <c r="B247" s="24" t="s">
        <v>109</v>
      </c>
      <c r="C247" s="99" t="s">
        <v>110</v>
      </c>
      <c r="D247" s="151" t="s">
        <v>111</v>
      </c>
      <c r="E247" s="156">
        <v>0.97</v>
      </c>
    </row>
    <row r="248" spans="1:5" ht="15" hidden="1">
      <c r="A248" s="127" t="s">
        <v>21</v>
      </c>
      <c r="B248" s="65" t="s">
        <v>112</v>
      </c>
      <c r="C248" s="99" t="s">
        <v>110</v>
      </c>
      <c r="D248" s="151" t="s">
        <v>142</v>
      </c>
      <c r="E248" s="144">
        <v>21.55</v>
      </c>
    </row>
    <row r="249" spans="1:5" ht="15" hidden="1">
      <c r="A249" s="157" t="s">
        <v>60</v>
      </c>
      <c r="B249" s="60" t="s">
        <v>113</v>
      </c>
      <c r="C249" s="11" t="s">
        <v>59</v>
      </c>
      <c r="D249" s="60"/>
      <c r="E249" s="129" t="e">
        <f>'Silumos kaina'!E700</f>
        <v>#REF!</v>
      </c>
    </row>
    <row r="250" spans="1:5" ht="15" hidden="1">
      <c r="A250" s="157" t="s">
        <v>72</v>
      </c>
      <c r="B250" s="60" t="s">
        <v>114</v>
      </c>
      <c r="C250" s="99" t="s">
        <v>110</v>
      </c>
      <c r="D250" s="99" t="s">
        <v>143</v>
      </c>
      <c r="E250" s="128">
        <v>6.58</v>
      </c>
    </row>
    <row r="251" spans="1:5" ht="15" hidden="1">
      <c r="A251" s="157" t="s">
        <v>115</v>
      </c>
      <c r="B251" s="60" t="s">
        <v>116</v>
      </c>
      <c r="C251" s="99" t="s">
        <v>110</v>
      </c>
      <c r="D251" s="99" t="s">
        <v>143</v>
      </c>
      <c r="E251" s="158">
        <v>11.21</v>
      </c>
    </row>
    <row r="252" spans="1:5" ht="15" hidden="1">
      <c r="A252" s="135" t="s">
        <v>84</v>
      </c>
      <c r="B252" s="152" t="s">
        <v>117</v>
      </c>
      <c r="C252" s="99" t="s">
        <v>110</v>
      </c>
      <c r="D252" s="151" t="s">
        <v>121</v>
      </c>
      <c r="E252" s="136">
        <f>E247+E248</f>
        <v>22.52</v>
      </c>
    </row>
    <row r="253" spans="1:5" ht="15" hidden="1">
      <c r="A253" s="135" t="s">
        <v>85</v>
      </c>
      <c r="B253" s="152" t="s">
        <v>118</v>
      </c>
      <c r="C253" s="99" t="s">
        <v>110</v>
      </c>
      <c r="D253" s="65"/>
      <c r="E253" s="129">
        <f>E252*1.09</f>
        <v>24.5468</v>
      </c>
    </row>
    <row r="254" spans="1:5" ht="15" hidden="1">
      <c r="A254" s="135" t="s">
        <v>87</v>
      </c>
      <c r="B254" s="152" t="s">
        <v>119</v>
      </c>
      <c r="C254" s="99" t="s">
        <v>110</v>
      </c>
      <c r="D254" s="65"/>
      <c r="E254" s="137">
        <f>E217</f>
        <v>22.34</v>
      </c>
    </row>
    <row r="255" spans="1:5" ht="15" hidden="1">
      <c r="A255" s="135" t="s">
        <v>89</v>
      </c>
      <c r="B255" s="153" t="s">
        <v>120</v>
      </c>
      <c r="C255" s="76" t="s">
        <v>95</v>
      </c>
      <c r="D255" s="65"/>
      <c r="E255" s="129">
        <f>(E252/E254)*100-100</f>
        <v>0.8057296329453862</v>
      </c>
    </row>
    <row r="256" spans="1:5" ht="15" hidden="1">
      <c r="A256" s="159" t="s">
        <v>167</v>
      </c>
      <c r="B256" s="600" t="s">
        <v>164</v>
      </c>
      <c r="C256" s="582"/>
      <c r="D256" s="582"/>
      <c r="E256" s="584"/>
    </row>
    <row r="257" spans="1:5" ht="15" hidden="1">
      <c r="A257" s="127" t="s">
        <v>15</v>
      </c>
      <c r="B257" s="44" t="s">
        <v>109</v>
      </c>
      <c r="C257" s="148" t="s">
        <v>110</v>
      </c>
      <c r="D257" s="149" t="s">
        <v>111</v>
      </c>
      <c r="E257" s="150">
        <v>0.97</v>
      </c>
    </row>
    <row r="258" spans="1:5" ht="15" hidden="1">
      <c r="A258" s="123" t="s">
        <v>21</v>
      </c>
      <c r="B258" s="65" t="s">
        <v>112</v>
      </c>
      <c r="C258" s="61" t="s">
        <v>110</v>
      </c>
      <c r="D258" s="98" t="s">
        <v>165</v>
      </c>
      <c r="E258" s="144">
        <f>28.13/100*51+6.58+0.11</f>
        <v>21.036299999999997</v>
      </c>
    </row>
    <row r="259" spans="1:5" ht="15" hidden="1">
      <c r="A259" s="135" t="s">
        <v>60</v>
      </c>
      <c r="B259" s="72" t="s">
        <v>117</v>
      </c>
      <c r="C259" s="64" t="s">
        <v>110</v>
      </c>
      <c r="D259" s="98" t="s">
        <v>121</v>
      </c>
      <c r="E259" s="136">
        <f>E257+E258</f>
        <v>22.006299999999996</v>
      </c>
    </row>
    <row r="260" spans="1:5" ht="15.75" hidden="1" thickBot="1">
      <c r="A260" s="138" t="s">
        <v>72</v>
      </c>
      <c r="B260" s="145" t="s">
        <v>118</v>
      </c>
      <c r="C260" s="146" t="s">
        <v>110</v>
      </c>
      <c r="D260" s="141"/>
      <c r="E260" s="147">
        <f>E259*1.21</f>
        <v>26.627622999999993</v>
      </c>
    </row>
    <row r="261" ht="12" customHeight="1" hidden="1"/>
    <row r="262" spans="2:4" ht="15" hidden="1">
      <c r="B262" t="s">
        <v>144</v>
      </c>
      <c r="C262" t="s">
        <v>148</v>
      </c>
      <c r="D262" s="101" t="s">
        <v>145</v>
      </c>
    </row>
    <row r="263" ht="15" hidden="1">
      <c r="D263" s="101"/>
    </row>
    <row r="264" ht="15" hidden="1">
      <c r="D264" s="101"/>
    </row>
    <row r="265" spans="1:5" ht="15" hidden="1">
      <c r="A265" s="87" t="s">
        <v>0</v>
      </c>
      <c r="B265" s="87"/>
      <c r="E265" s="87" t="s">
        <v>141</v>
      </c>
    </row>
    <row r="266" spans="1:4" ht="15" hidden="1">
      <c r="A266" s="87" t="s">
        <v>1</v>
      </c>
      <c r="B266" s="87"/>
      <c r="D266" s="87" t="s">
        <v>133</v>
      </c>
    </row>
    <row r="267" spans="1:4" ht="15" hidden="1">
      <c r="A267" s="87" t="s">
        <v>2</v>
      </c>
      <c r="B267" s="87"/>
      <c r="D267" s="87" t="s">
        <v>122</v>
      </c>
    </row>
    <row r="268" spans="1:4" ht="15" hidden="1">
      <c r="A268" s="87" t="s">
        <v>3</v>
      </c>
      <c r="B268" s="87"/>
      <c r="D268" s="87" t="s">
        <v>123</v>
      </c>
    </row>
    <row r="269" spans="1:4" ht="15" hidden="1">
      <c r="A269" s="87" t="s">
        <v>4</v>
      </c>
      <c r="B269" s="87"/>
      <c r="D269" s="87" t="s">
        <v>124</v>
      </c>
    </row>
    <row r="270" spans="1:4" ht="15" hidden="1">
      <c r="A270" s="87" t="s">
        <v>5</v>
      </c>
      <c r="B270" s="87"/>
      <c r="D270" s="87" t="s">
        <v>125</v>
      </c>
    </row>
    <row r="271" ht="15" hidden="1"/>
    <row r="272" spans="1:5" ht="15.75" hidden="1">
      <c r="A272" s="96"/>
      <c r="B272" s="96" t="s">
        <v>183</v>
      </c>
      <c r="C272" s="96"/>
      <c r="D272" s="96"/>
      <c r="E272" s="96"/>
    </row>
    <row r="273" spans="3:4" ht="15" hidden="1">
      <c r="C273" s="175">
        <v>41718</v>
      </c>
      <c r="D273" s="97"/>
    </row>
    <row r="274" ht="15" hidden="1">
      <c r="C274" s="102" t="s">
        <v>146</v>
      </c>
    </row>
    <row r="275" spans="1:2" ht="15" hidden="1">
      <c r="A275" s="2" t="s">
        <v>6</v>
      </c>
      <c r="B275" s="2"/>
    </row>
    <row r="276" spans="1:2" ht="15" hidden="1">
      <c r="A276" s="1" t="s">
        <v>150</v>
      </c>
      <c r="B276" s="1"/>
    </row>
    <row r="277" spans="1:2" ht="15" hidden="1">
      <c r="A277" s="1" t="s">
        <v>7</v>
      </c>
      <c r="B277" s="1"/>
    </row>
    <row r="278" spans="1:2" ht="15.75" hidden="1" thickBot="1">
      <c r="A278" s="176" t="s">
        <v>184</v>
      </c>
      <c r="B278" s="176"/>
    </row>
    <row r="279" spans="1:5" ht="15" hidden="1">
      <c r="A279" s="117" t="s">
        <v>8</v>
      </c>
      <c r="B279" s="118" t="s">
        <v>9</v>
      </c>
      <c r="C279" s="118" t="s">
        <v>10</v>
      </c>
      <c r="D279" s="118" t="s">
        <v>11</v>
      </c>
      <c r="E279" s="120" t="s">
        <v>12</v>
      </c>
    </row>
    <row r="280" spans="1:5" ht="15" hidden="1">
      <c r="A280" s="160" t="s">
        <v>166</v>
      </c>
      <c r="B280" s="599" t="s">
        <v>171</v>
      </c>
      <c r="C280" s="596"/>
      <c r="D280" s="596"/>
      <c r="E280" s="598"/>
    </row>
    <row r="281" spans="1:5" ht="15" hidden="1">
      <c r="A281" s="127" t="s">
        <v>15</v>
      </c>
      <c r="B281" s="24" t="s">
        <v>109</v>
      </c>
      <c r="C281" s="99" t="s">
        <v>110</v>
      </c>
      <c r="D281" s="151" t="s">
        <v>111</v>
      </c>
      <c r="E281" s="156">
        <v>0.54</v>
      </c>
    </row>
    <row r="282" spans="1:5" ht="15" hidden="1">
      <c r="A282" s="127" t="s">
        <v>21</v>
      </c>
      <c r="B282" s="65" t="s">
        <v>112</v>
      </c>
      <c r="C282" s="99" t="s">
        <v>110</v>
      </c>
      <c r="D282" s="151" t="s">
        <v>185</v>
      </c>
      <c r="E282" s="144">
        <v>21.82</v>
      </c>
    </row>
    <row r="283" spans="1:5" ht="15" hidden="1">
      <c r="A283" s="157" t="s">
        <v>60</v>
      </c>
      <c r="B283" s="60" t="s">
        <v>113</v>
      </c>
      <c r="C283" s="11" t="s">
        <v>59</v>
      </c>
      <c r="D283" s="60"/>
      <c r="E283" s="129">
        <v>27.86</v>
      </c>
    </row>
    <row r="284" spans="1:5" ht="15" hidden="1">
      <c r="A284" s="157" t="s">
        <v>72</v>
      </c>
      <c r="B284" s="60" t="s">
        <v>114</v>
      </c>
      <c r="C284" s="99" t="s">
        <v>110</v>
      </c>
      <c r="D284" s="99" t="s">
        <v>143</v>
      </c>
      <c r="E284" s="128">
        <v>6.58</v>
      </c>
    </row>
    <row r="285" spans="1:5" ht="15" hidden="1">
      <c r="A285" s="157" t="s">
        <v>115</v>
      </c>
      <c r="B285" s="60" t="s">
        <v>116</v>
      </c>
      <c r="C285" s="99" t="s">
        <v>110</v>
      </c>
      <c r="D285" s="99" t="s">
        <v>143</v>
      </c>
      <c r="E285" s="158">
        <v>11.21</v>
      </c>
    </row>
    <row r="286" spans="1:5" ht="15" hidden="1">
      <c r="A286" s="135" t="s">
        <v>84</v>
      </c>
      <c r="B286" s="152" t="s">
        <v>117</v>
      </c>
      <c r="C286" s="99" t="s">
        <v>110</v>
      </c>
      <c r="D286" s="151" t="s">
        <v>121</v>
      </c>
      <c r="E286" s="136">
        <f>E281+E282</f>
        <v>22.36</v>
      </c>
    </row>
    <row r="287" spans="1:5" ht="15" hidden="1">
      <c r="A287" s="135" t="s">
        <v>85</v>
      </c>
      <c r="B287" s="152" t="s">
        <v>118</v>
      </c>
      <c r="C287" s="99" t="s">
        <v>110</v>
      </c>
      <c r="D287" s="65"/>
      <c r="E287" s="129">
        <f>E286*1.09</f>
        <v>24.372400000000003</v>
      </c>
    </row>
    <row r="288" spans="1:5" ht="15" hidden="1">
      <c r="A288" s="135" t="s">
        <v>87</v>
      </c>
      <c r="B288" s="152" t="s">
        <v>119</v>
      </c>
      <c r="C288" s="99" t="s">
        <v>110</v>
      </c>
      <c r="D288" s="65"/>
      <c r="E288" s="137">
        <v>22.52</v>
      </c>
    </row>
    <row r="289" spans="1:5" ht="15" hidden="1">
      <c r="A289" s="135" t="s">
        <v>89</v>
      </c>
      <c r="B289" s="153" t="s">
        <v>120</v>
      </c>
      <c r="C289" s="76" t="s">
        <v>95</v>
      </c>
      <c r="D289" s="65"/>
      <c r="E289" s="129">
        <f>(E286/E288)*100-100</f>
        <v>-0.7104795737122487</v>
      </c>
    </row>
    <row r="290" spans="1:5" ht="15" hidden="1">
      <c r="A290" s="159" t="s">
        <v>167</v>
      </c>
      <c r="B290" s="600" t="s">
        <v>164</v>
      </c>
      <c r="C290" s="582"/>
      <c r="D290" s="582"/>
      <c r="E290" s="584"/>
    </row>
    <row r="291" spans="1:5" ht="15" hidden="1">
      <c r="A291" s="127" t="s">
        <v>15</v>
      </c>
      <c r="B291" s="44" t="s">
        <v>109</v>
      </c>
      <c r="C291" s="148" t="s">
        <v>110</v>
      </c>
      <c r="D291" s="149" t="s">
        <v>111</v>
      </c>
      <c r="E291" s="150">
        <v>0.54</v>
      </c>
    </row>
    <row r="292" spans="1:5" ht="15" hidden="1">
      <c r="A292" s="123" t="s">
        <v>21</v>
      </c>
      <c r="B292" s="65" t="s">
        <v>112</v>
      </c>
      <c r="C292" s="61" t="s">
        <v>110</v>
      </c>
      <c r="D292" s="98" t="s">
        <v>186</v>
      </c>
      <c r="E292" s="144">
        <v>21.15</v>
      </c>
    </row>
    <row r="293" spans="1:5" ht="15" hidden="1">
      <c r="A293" s="135" t="s">
        <v>60</v>
      </c>
      <c r="B293" s="72" t="s">
        <v>117</v>
      </c>
      <c r="C293" s="64" t="s">
        <v>110</v>
      </c>
      <c r="D293" s="98" t="s">
        <v>121</v>
      </c>
      <c r="E293" s="136">
        <f>E291+E292</f>
        <v>21.689999999999998</v>
      </c>
    </row>
    <row r="294" spans="1:5" ht="15.75" hidden="1" thickBot="1">
      <c r="A294" s="138" t="s">
        <v>72</v>
      </c>
      <c r="B294" s="145" t="s">
        <v>118</v>
      </c>
      <c r="C294" s="146" t="s">
        <v>110</v>
      </c>
      <c r="D294" s="141"/>
      <c r="E294" s="147">
        <f>E293*1.21</f>
        <v>26.244899999999998</v>
      </c>
    </row>
    <row r="295" ht="15" hidden="1"/>
    <row r="296" spans="2:4" ht="15" hidden="1">
      <c r="B296" t="s">
        <v>144</v>
      </c>
      <c r="C296" t="s">
        <v>148</v>
      </c>
      <c r="D296" s="101" t="s">
        <v>145</v>
      </c>
    </row>
    <row r="297" ht="15" hidden="1">
      <c r="D297" s="101"/>
    </row>
    <row r="298" spans="1:5" ht="15" hidden="1">
      <c r="A298" s="87" t="s">
        <v>0</v>
      </c>
      <c r="B298" s="87"/>
      <c r="E298" s="87" t="s">
        <v>141</v>
      </c>
    </row>
    <row r="299" spans="1:4" ht="15" hidden="1">
      <c r="A299" s="87" t="s">
        <v>1</v>
      </c>
      <c r="B299" s="87"/>
      <c r="D299" s="87" t="s">
        <v>133</v>
      </c>
    </row>
    <row r="300" spans="1:4" ht="15" hidden="1">
      <c r="A300" s="87" t="s">
        <v>2</v>
      </c>
      <c r="B300" s="87"/>
      <c r="D300" s="87" t="s">
        <v>122</v>
      </c>
    </row>
    <row r="301" spans="1:4" ht="15" hidden="1">
      <c r="A301" s="87" t="s">
        <v>3</v>
      </c>
      <c r="B301" s="87"/>
      <c r="D301" s="87" t="s">
        <v>123</v>
      </c>
    </row>
    <row r="302" spans="1:4" ht="15" hidden="1">
      <c r="A302" s="87" t="s">
        <v>4</v>
      </c>
      <c r="B302" s="87"/>
      <c r="D302" s="87" t="s">
        <v>124</v>
      </c>
    </row>
    <row r="303" spans="1:4" ht="15" hidden="1">
      <c r="A303" s="87" t="s">
        <v>5</v>
      </c>
      <c r="B303" s="87"/>
      <c r="D303" s="87" t="s">
        <v>125</v>
      </c>
    </row>
    <row r="304" ht="15" hidden="1"/>
    <row r="305" spans="1:5" ht="15.75" hidden="1">
      <c r="A305" s="96"/>
      <c r="B305" s="96" t="s">
        <v>190</v>
      </c>
      <c r="C305" s="96"/>
      <c r="D305" s="96"/>
      <c r="E305" s="96"/>
    </row>
    <row r="306" spans="3:4" ht="15" hidden="1">
      <c r="C306" s="175">
        <v>41754</v>
      </c>
      <c r="D306" s="97"/>
    </row>
    <row r="307" ht="15" hidden="1">
      <c r="C307" s="102" t="s">
        <v>146</v>
      </c>
    </row>
    <row r="308" spans="1:2" ht="15" hidden="1">
      <c r="A308" s="2" t="s">
        <v>6</v>
      </c>
      <c r="B308" s="2"/>
    </row>
    <row r="309" spans="1:2" ht="15" hidden="1">
      <c r="A309" s="1" t="s">
        <v>150</v>
      </c>
      <c r="B309" s="1"/>
    </row>
    <row r="310" spans="1:2" ht="15" hidden="1">
      <c r="A310" s="1" t="s">
        <v>7</v>
      </c>
      <c r="B310" s="1"/>
    </row>
    <row r="311" spans="1:2" ht="15.75" hidden="1" thickBot="1">
      <c r="A311" s="176" t="s">
        <v>184</v>
      </c>
      <c r="B311" s="176"/>
    </row>
    <row r="312" spans="1:5" ht="15" hidden="1">
      <c r="A312" s="117" t="s">
        <v>8</v>
      </c>
      <c r="B312" s="118" t="s">
        <v>9</v>
      </c>
      <c r="C312" s="118" t="s">
        <v>10</v>
      </c>
      <c r="D312" s="118" t="s">
        <v>11</v>
      </c>
      <c r="E312" s="120" t="s">
        <v>12</v>
      </c>
    </row>
    <row r="313" spans="1:5" ht="15" hidden="1">
      <c r="A313" s="160" t="s">
        <v>166</v>
      </c>
      <c r="B313" s="599" t="s">
        <v>171</v>
      </c>
      <c r="C313" s="596"/>
      <c r="D313" s="596"/>
      <c r="E313" s="598"/>
    </row>
    <row r="314" spans="1:5" ht="15" hidden="1">
      <c r="A314" s="127" t="s">
        <v>15</v>
      </c>
      <c r="B314" s="24" t="s">
        <v>109</v>
      </c>
      <c r="C314" s="99" t="s">
        <v>110</v>
      </c>
      <c r="D314" s="151" t="s">
        <v>111</v>
      </c>
      <c r="E314" s="156">
        <v>0.54</v>
      </c>
    </row>
    <row r="315" spans="1:7" ht="15" hidden="1">
      <c r="A315" s="127" t="s">
        <v>21</v>
      </c>
      <c r="B315" s="65" t="s">
        <v>112</v>
      </c>
      <c r="C315" s="99" t="s">
        <v>110</v>
      </c>
      <c r="D315" s="151" t="s">
        <v>185</v>
      </c>
      <c r="E315" s="144">
        <f>14.73+6.78+0.36</f>
        <v>21.87</v>
      </c>
      <c r="G315">
        <f>27.95/100*52.69</f>
        <v>14.726854999999999</v>
      </c>
    </row>
    <row r="316" spans="1:7" ht="15" hidden="1">
      <c r="A316" s="157" t="s">
        <v>60</v>
      </c>
      <c r="B316" s="60" t="s">
        <v>113</v>
      </c>
      <c r="C316" s="11" t="s">
        <v>59</v>
      </c>
      <c r="D316" s="60"/>
      <c r="E316" s="129">
        <f>'Silumos kaina'!E880</f>
        <v>27.950462077127657</v>
      </c>
      <c r="G316">
        <f>6.58*1.03</f>
        <v>6.7774</v>
      </c>
    </row>
    <row r="317" spans="1:7" ht="15" hidden="1">
      <c r="A317" s="157" t="s">
        <v>72</v>
      </c>
      <c r="B317" s="60" t="s">
        <v>114</v>
      </c>
      <c r="C317" s="99" t="s">
        <v>110</v>
      </c>
      <c r="D317" s="99" t="s">
        <v>143</v>
      </c>
      <c r="E317" s="128">
        <v>6.58</v>
      </c>
      <c r="G317">
        <f>11.21*0.032</f>
        <v>0.35872000000000004</v>
      </c>
    </row>
    <row r="318" spans="1:7" ht="15" hidden="1">
      <c r="A318" s="157" t="s">
        <v>115</v>
      </c>
      <c r="B318" s="60" t="s">
        <v>116</v>
      </c>
      <c r="C318" s="99" t="s">
        <v>110</v>
      </c>
      <c r="D318" s="99" t="s">
        <v>143</v>
      </c>
      <c r="E318" s="158">
        <v>11.21</v>
      </c>
      <c r="G318">
        <f>SUM(G315:G317)</f>
        <v>21.862975000000002</v>
      </c>
    </row>
    <row r="319" spans="1:5" ht="15" hidden="1">
      <c r="A319" s="135" t="s">
        <v>84</v>
      </c>
      <c r="B319" s="152" t="s">
        <v>117</v>
      </c>
      <c r="C319" s="99" t="s">
        <v>110</v>
      </c>
      <c r="D319" s="151" t="s">
        <v>121</v>
      </c>
      <c r="E319" s="136">
        <f>E314+E315</f>
        <v>22.41</v>
      </c>
    </row>
    <row r="320" spans="1:5" ht="15" hidden="1">
      <c r="A320" s="135" t="s">
        <v>85</v>
      </c>
      <c r="B320" s="152" t="s">
        <v>118</v>
      </c>
      <c r="C320" s="99" t="s">
        <v>110</v>
      </c>
      <c r="D320" s="65"/>
      <c r="E320" s="129">
        <f>E319*1.09</f>
        <v>24.426900000000003</v>
      </c>
    </row>
    <row r="321" spans="1:5" ht="15" hidden="1">
      <c r="A321" s="135" t="s">
        <v>87</v>
      </c>
      <c r="B321" s="152" t="s">
        <v>119</v>
      </c>
      <c r="C321" s="99" t="s">
        <v>110</v>
      </c>
      <c r="D321" s="65"/>
      <c r="E321" s="137">
        <v>22.52</v>
      </c>
    </row>
    <row r="322" spans="1:5" ht="15" hidden="1">
      <c r="A322" s="135" t="s">
        <v>89</v>
      </c>
      <c r="B322" s="153" t="s">
        <v>120</v>
      </c>
      <c r="C322" s="76" t="s">
        <v>95</v>
      </c>
      <c r="D322" s="65"/>
      <c r="E322" s="129">
        <f>(E319/E321)*100-100</f>
        <v>-0.48845470692717186</v>
      </c>
    </row>
    <row r="323" spans="1:5" ht="15" hidden="1">
      <c r="A323" s="159" t="s">
        <v>167</v>
      </c>
      <c r="B323" s="600" t="s">
        <v>164</v>
      </c>
      <c r="C323" s="582"/>
      <c r="D323" s="582"/>
      <c r="E323" s="584"/>
    </row>
    <row r="324" spans="1:5" ht="15" hidden="1">
      <c r="A324" s="127" t="s">
        <v>15</v>
      </c>
      <c r="B324" s="44" t="s">
        <v>109</v>
      </c>
      <c r="C324" s="148" t="s">
        <v>110</v>
      </c>
      <c r="D324" s="149" t="s">
        <v>111</v>
      </c>
      <c r="E324" s="150">
        <v>0.54</v>
      </c>
    </row>
    <row r="325" spans="1:5" ht="15" hidden="1">
      <c r="A325" s="123" t="s">
        <v>21</v>
      </c>
      <c r="B325" s="65" t="s">
        <v>112</v>
      </c>
      <c r="C325" s="61" t="s">
        <v>110</v>
      </c>
      <c r="D325" s="98" t="s">
        <v>186</v>
      </c>
      <c r="E325" s="144">
        <f>14.25+6.58+0.36</f>
        <v>21.189999999999998</v>
      </c>
    </row>
    <row r="326" spans="1:5" ht="15" hidden="1">
      <c r="A326" s="135" t="s">
        <v>60</v>
      </c>
      <c r="B326" s="72" t="s">
        <v>117</v>
      </c>
      <c r="C326" s="64" t="s">
        <v>110</v>
      </c>
      <c r="D326" s="98" t="s">
        <v>121</v>
      </c>
      <c r="E326" s="136">
        <f>E324+E325</f>
        <v>21.729999999999997</v>
      </c>
    </row>
    <row r="327" spans="1:5" ht="15.75" hidden="1" thickBot="1">
      <c r="A327" s="138" t="s">
        <v>72</v>
      </c>
      <c r="B327" s="145" t="s">
        <v>118</v>
      </c>
      <c r="C327" s="146" t="s">
        <v>110</v>
      </c>
      <c r="D327" s="141"/>
      <c r="E327" s="147">
        <f>E326*1.21</f>
        <v>26.293299999999995</v>
      </c>
    </row>
    <row r="328" ht="15" hidden="1"/>
    <row r="329" spans="2:4" ht="15" hidden="1">
      <c r="B329" t="s">
        <v>144</v>
      </c>
      <c r="C329" t="s">
        <v>148</v>
      </c>
      <c r="D329" s="101" t="s">
        <v>145</v>
      </c>
    </row>
    <row r="330" ht="15" hidden="1">
      <c r="D330" s="101"/>
    </row>
    <row r="331" spans="1:5" ht="15" hidden="1">
      <c r="A331" s="87" t="s">
        <v>0</v>
      </c>
      <c r="B331" s="87"/>
      <c r="E331" s="87" t="s">
        <v>141</v>
      </c>
    </row>
    <row r="332" spans="1:4" ht="15" hidden="1">
      <c r="A332" s="87" t="s">
        <v>1</v>
      </c>
      <c r="B332" s="87"/>
      <c r="D332" s="87" t="s">
        <v>133</v>
      </c>
    </row>
    <row r="333" spans="1:4" ht="15" hidden="1">
      <c r="A333" s="87" t="s">
        <v>2</v>
      </c>
      <c r="B333" s="87"/>
      <c r="D333" s="87" t="s">
        <v>122</v>
      </c>
    </row>
    <row r="334" spans="1:4" ht="15" hidden="1">
      <c r="A334" s="87" t="s">
        <v>3</v>
      </c>
      <c r="B334" s="87"/>
      <c r="D334" s="87" t="s">
        <v>123</v>
      </c>
    </row>
    <row r="335" spans="1:4" ht="15" hidden="1">
      <c r="A335" s="87" t="s">
        <v>4</v>
      </c>
      <c r="B335" s="87"/>
      <c r="D335" s="87" t="s">
        <v>124</v>
      </c>
    </row>
    <row r="336" spans="1:4" ht="15" hidden="1">
      <c r="A336" s="87" t="s">
        <v>5</v>
      </c>
      <c r="B336" s="87"/>
      <c r="D336" s="87" t="s">
        <v>125</v>
      </c>
    </row>
    <row r="337" ht="15" hidden="1"/>
    <row r="338" spans="1:5" ht="15.75" hidden="1">
      <c r="A338" s="96"/>
      <c r="B338" s="96" t="s">
        <v>193</v>
      </c>
      <c r="C338" s="96"/>
      <c r="D338" s="96"/>
      <c r="E338" s="96"/>
    </row>
    <row r="339" spans="3:4" ht="15" hidden="1">
      <c r="C339" s="175">
        <v>41749</v>
      </c>
      <c r="D339" s="97"/>
    </row>
    <row r="340" ht="15" hidden="1">
      <c r="C340" s="102" t="s">
        <v>146</v>
      </c>
    </row>
    <row r="341" spans="1:2" ht="15" hidden="1">
      <c r="A341" s="2" t="s">
        <v>6</v>
      </c>
      <c r="B341" s="2"/>
    </row>
    <row r="342" spans="1:2" ht="15" hidden="1">
      <c r="A342" s="1" t="s">
        <v>150</v>
      </c>
      <c r="B342" s="1"/>
    </row>
    <row r="343" spans="1:2" ht="15" hidden="1">
      <c r="A343" s="1" t="s">
        <v>7</v>
      </c>
      <c r="B343" s="1"/>
    </row>
    <row r="344" spans="1:2" ht="15.75" hidden="1" thickBot="1">
      <c r="A344" s="176" t="s">
        <v>184</v>
      </c>
      <c r="B344" s="176"/>
    </row>
    <row r="345" spans="1:5" ht="15" hidden="1">
      <c r="A345" s="117" t="s">
        <v>8</v>
      </c>
      <c r="B345" s="118" t="s">
        <v>9</v>
      </c>
      <c r="C345" s="118" t="s">
        <v>10</v>
      </c>
      <c r="D345" s="118" t="s">
        <v>11</v>
      </c>
      <c r="E345" s="120" t="s">
        <v>12</v>
      </c>
    </row>
    <row r="346" spans="1:5" ht="15" hidden="1">
      <c r="A346" s="160" t="s">
        <v>166</v>
      </c>
      <c r="B346" s="599" t="s">
        <v>171</v>
      </c>
      <c r="C346" s="596"/>
      <c r="D346" s="596"/>
      <c r="E346" s="598"/>
    </row>
    <row r="347" spans="1:5" ht="15" hidden="1">
      <c r="A347" s="127" t="s">
        <v>15</v>
      </c>
      <c r="B347" s="24" t="s">
        <v>109</v>
      </c>
      <c r="C347" s="99" t="s">
        <v>110</v>
      </c>
      <c r="D347" s="151" t="s">
        <v>111</v>
      </c>
      <c r="E347" s="156">
        <v>0.54</v>
      </c>
    </row>
    <row r="348" spans="1:7" ht="15" hidden="1">
      <c r="A348" s="127" t="s">
        <v>21</v>
      </c>
      <c r="B348" s="65" t="s">
        <v>112</v>
      </c>
      <c r="C348" s="99" t="s">
        <v>110</v>
      </c>
      <c r="D348" s="151" t="s">
        <v>185</v>
      </c>
      <c r="E348" s="144">
        <f>14.63+6.78+0.36</f>
        <v>21.77</v>
      </c>
      <c r="G348">
        <f>27.95/100*52.69</f>
        <v>14.726854999999999</v>
      </c>
    </row>
    <row r="349" spans="1:7" ht="15" hidden="1">
      <c r="A349" s="157" t="s">
        <v>60</v>
      </c>
      <c r="B349" s="60" t="s">
        <v>113</v>
      </c>
      <c r="C349" s="11" t="s">
        <v>59</v>
      </c>
      <c r="D349" s="60"/>
      <c r="E349" s="129">
        <f>'Silumos kaina'!E971</f>
        <v>27.771551944148936</v>
      </c>
      <c r="G349">
        <f>6.58*1.03</f>
        <v>6.7774</v>
      </c>
    </row>
    <row r="350" spans="1:7" ht="15" hidden="1">
      <c r="A350" s="157" t="s">
        <v>72</v>
      </c>
      <c r="B350" s="60" t="s">
        <v>114</v>
      </c>
      <c r="C350" s="99" t="s">
        <v>110</v>
      </c>
      <c r="D350" s="99" t="s">
        <v>143</v>
      </c>
      <c r="E350" s="128">
        <v>6.58</v>
      </c>
      <c r="G350">
        <f>11.21*0.032</f>
        <v>0.35872000000000004</v>
      </c>
    </row>
    <row r="351" spans="1:7" ht="15" hidden="1">
      <c r="A351" s="157" t="s">
        <v>115</v>
      </c>
      <c r="B351" s="60" t="s">
        <v>116</v>
      </c>
      <c r="C351" s="99" t="s">
        <v>110</v>
      </c>
      <c r="D351" s="99" t="s">
        <v>143</v>
      </c>
      <c r="E351" s="158">
        <v>11.21</v>
      </c>
      <c r="G351">
        <f>SUM(G348:G350)</f>
        <v>21.862975000000002</v>
      </c>
    </row>
    <row r="352" spans="1:5" ht="15" hidden="1">
      <c r="A352" s="135" t="s">
        <v>84</v>
      </c>
      <c r="B352" s="152" t="s">
        <v>117</v>
      </c>
      <c r="C352" s="99" t="s">
        <v>110</v>
      </c>
      <c r="D352" s="151" t="s">
        <v>121</v>
      </c>
      <c r="E352" s="136">
        <f>E347+E348</f>
        <v>22.31</v>
      </c>
    </row>
    <row r="353" spans="1:5" ht="15" hidden="1">
      <c r="A353" s="135" t="s">
        <v>85</v>
      </c>
      <c r="B353" s="152" t="s">
        <v>118</v>
      </c>
      <c r="C353" s="99" t="s">
        <v>110</v>
      </c>
      <c r="D353" s="65"/>
      <c r="E353" s="129">
        <f>E352*1.09</f>
        <v>24.3179</v>
      </c>
    </row>
    <row r="354" spans="1:5" ht="15" hidden="1">
      <c r="A354" s="135" t="s">
        <v>87</v>
      </c>
      <c r="B354" s="152" t="s">
        <v>119</v>
      </c>
      <c r="C354" s="99" t="s">
        <v>110</v>
      </c>
      <c r="D354" s="65"/>
      <c r="E354" s="137">
        <v>22.41</v>
      </c>
    </row>
    <row r="355" spans="1:5" ht="15" hidden="1">
      <c r="A355" s="135" t="s">
        <v>89</v>
      </c>
      <c r="B355" s="153" t="s">
        <v>120</v>
      </c>
      <c r="C355" s="76" t="s">
        <v>95</v>
      </c>
      <c r="D355" s="65"/>
      <c r="E355" s="129">
        <f>(E352/E354)*100-100</f>
        <v>-0.44622936189200857</v>
      </c>
    </row>
    <row r="356" spans="1:5" ht="15" hidden="1">
      <c r="A356" s="159" t="s">
        <v>167</v>
      </c>
      <c r="B356" s="600" t="s">
        <v>164</v>
      </c>
      <c r="C356" s="582"/>
      <c r="D356" s="582"/>
      <c r="E356" s="584"/>
    </row>
    <row r="357" spans="1:5" ht="15" hidden="1">
      <c r="A357" s="127" t="s">
        <v>15</v>
      </c>
      <c r="B357" s="44" t="s">
        <v>109</v>
      </c>
      <c r="C357" s="148" t="s">
        <v>110</v>
      </c>
      <c r="D357" s="149" t="s">
        <v>111</v>
      </c>
      <c r="E357" s="150">
        <v>0.54</v>
      </c>
    </row>
    <row r="358" spans="1:5" ht="15" hidden="1">
      <c r="A358" s="123" t="s">
        <v>21</v>
      </c>
      <c r="B358" s="65" t="s">
        <v>112</v>
      </c>
      <c r="C358" s="61" t="s">
        <v>110</v>
      </c>
      <c r="D358" s="98" t="s">
        <v>186</v>
      </c>
      <c r="E358" s="144">
        <f>14.16+6.58+0.36</f>
        <v>21.1</v>
      </c>
    </row>
    <row r="359" spans="1:5" ht="15" hidden="1">
      <c r="A359" s="135" t="s">
        <v>60</v>
      </c>
      <c r="B359" s="72" t="s">
        <v>117</v>
      </c>
      <c r="C359" s="64" t="s">
        <v>110</v>
      </c>
      <c r="D359" s="98" t="s">
        <v>121</v>
      </c>
      <c r="E359" s="136">
        <f>E357+E358</f>
        <v>21.64</v>
      </c>
    </row>
    <row r="360" spans="1:5" ht="15.75" hidden="1" thickBot="1">
      <c r="A360" s="138" t="s">
        <v>72</v>
      </c>
      <c r="B360" s="145" t="s">
        <v>118</v>
      </c>
      <c r="C360" s="146" t="s">
        <v>110</v>
      </c>
      <c r="D360" s="141"/>
      <c r="E360" s="147">
        <f>E359*1.21</f>
        <v>26.1844</v>
      </c>
    </row>
    <row r="361" ht="15" hidden="1"/>
    <row r="362" spans="2:4" ht="15" hidden="1">
      <c r="B362" t="s">
        <v>144</v>
      </c>
      <c r="C362" t="s">
        <v>148</v>
      </c>
      <c r="D362" s="101" t="s">
        <v>145</v>
      </c>
    </row>
    <row r="363" ht="15" hidden="1">
      <c r="D363" s="101"/>
    </row>
    <row r="364" spans="1:5" ht="15" hidden="1">
      <c r="A364" s="87" t="s">
        <v>0</v>
      </c>
      <c r="B364" s="87"/>
      <c r="E364" s="87" t="s">
        <v>141</v>
      </c>
    </row>
    <row r="365" spans="1:4" ht="15" hidden="1">
      <c r="A365" s="87" t="s">
        <v>1</v>
      </c>
      <c r="B365" s="87"/>
      <c r="D365" s="87" t="s">
        <v>133</v>
      </c>
    </row>
    <row r="366" spans="1:4" ht="15" hidden="1">
      <c r="A366" s="87" t="s">
        <v>2</v>
      </c>
      <c r="B366" s="87"/>
      <c r="D366" s="87" t="s">
        <v>122</v>
      </c>
    </row>
    <row r="367" spans="1:4" ht="15" hidden="1">
      <c r="A367" s="87" t="s">
        <v>3</v>
      </c>
      <c r="B367" s="87"/>
      <c r="D367" s="87" t="s">
        <v>123</v>
      </c>
    </row>
    <row r="368" spans="1:4" ht="15" hidden="1">
      <c r="A368" s="87" t="s">
        <v>4</v>
      </c>
      <c r="B368" s="87"/>
      <c r="D368" s="87" t="s">
        <v>124</v>
      </c>
    </row>
    <row r="369" spans="1:4" ht="15" hidden="1">
      <c r="A369" s="87" t="s">
        <v>5</v>
      </c>
      <c r="B369" s="87"/>
      <c r="D369" s="87" t="s">
        <v>125</v>
      </c>
    </row>
    <row r="370" ht="15" hidden="1"/>
    <row r="371" spans="1:5" ht="15.75" hidden="1">
      <c r="A371" s="96"/>
      <c r="B371" s="96" t="s">
        <v>194</v>
      </c>
      <c r="C371" s="96"/>
      <c r="D371" s="96"/>
      <c r="E371" s="96"/>
    </row>
    <row r="372" spans="3:4" ht="15" hidden="1">
      <c r="C372" s="175">
        <v>41813</v>
      </c>
      <c r="D372" s="97"/>
    </row>
    <row r="373" ht="15" hidden="1">
      <c r="C373" s="102" t="s">
        <v>146</v>
      </c>
    </row>
    <row r="374" spans="1:2" ht="15" hidden="1">
      <c r="A374" s="2" t="s">
        <v>6</v>
      </c>
      <c r="B374" s="2"/>
    </row>
    <row r="375" spans="1:2" ht="15" hidden="1">
      <c r="A375" s="1" t="s">
        <v>150</v>
      </c>
      <c r="B375" s="1"/>
    </row>
    <row r="376" spans="1:2" ht="15" hidden="1">
      <c r="A376" s="1" t="s">
        <v>7</v>
      </c>
      <c r="B376" s="1"/>
    </row>
    <row r="377" spans="1:2" ht="15.75" hidden="1" thickBot="1">
      <c r="A377" s="176" t="s">
        <v>184</v>
      </c>
      <c r="B377" s="176"/>
    </row>
    <row r="378" spans="1:5" ht="15" hidden="1">
      <c r="A378" s="117" t="s">
        <v>8</v>
      </c>
      <c r="B378" s="118" t="s">
        <v>9</v>
      </c>
      <c r="C378" s="118" t="s">
        <v>10</v>
      </c>
      <c r="D378" s="118" t="s">
        <v>11</v>
      </c>
      <c r="E378" s="120" t="s">
        <v>12</v>
      </c>
    </row>
    <row r="379" spans="1:5" ht="15" hidden="1">
      <c r="A379" s="160" t="s">
        <v>166</v>
      </c>
      <c r="B379" s="599" t="s">
        <v>171</v>
      </c>
      <c r="C379" s="596"/>
      <c r="D379" s="596"/>
      <c r="E379" s="598"/>
    </row>
    <row r="380" spans="1:5" ht="15" hidden="1">
      <c r="A380" s="127" t="s">
        <v>15</v>
      </c>
      <c r="B380" s="24" t="s">
        <v>109</v>
      </c>
      <c r="C380" s="99" t="s">
        <v>110</v>
      </c>
      <c r="D380" s="151" t="s">
        <v>111</v>
      </c>
      <c r="E380" s="156">
        <v>0.54</v>
      </c>
    </row>
    <row r="381" spans="1:5" ht="15" hidden="1">
      <c r="A381" s="127" t="s">
        <v>21</v>
      </c>
      <c r="B381" s="65" t="s">
        <v>112</v>
      </c>
      <c r="C381" s="99" t="s">
        <v>110</v>
      </c>
      <c r="D381" s="151" t="s">
        <v>185</v>
      </c>
      <c r="E381" s="144">
        <f>13.28+6.78+0.36</f>
        <v>20.419999999999998</v>
      </c>
    </row>
    <row r="382" spans="1:5" ht="15" hidden="1">
      <c r="A382" s="157" t="s">
        <v>60</v>
      </c>
      <c r="B382" s="60" t="s">
        <v>113</v>
      </c>
      <c r="C382" s="11" t="s">
        <v>59</v>
      </c>
      <c r="D382" s="60"/>
      <c r="E382" s="129">
        <f>'Silumos kaina'!E1062</f>
        <v>25.202317337765958</v>
      </c>
    </row>
    <row r="383" spans="1:5" ht="15" hidden="1">
      <c r="A383" s="157" t="s">
        <v>72</v>
      </c>
      <c r="B383" s="60" t="s">
        <v>114</v>
      </c>
      <c r="C383" s="99" t="s">
        <v>110</v>
      </c>
      <c r="D383" s="99" t="s">
        <v>143</v>
      </c>
      <c r="E383" s="128">
        <v>6.58</v>
      </c>
    </row>
    <row r="384" spans="1:5" ht="15" hidden="1">
      <c r="A384" s="157" t="s">
        <v>115</v>
      </c>
      <c r="B384" s="60" t="s">
        <v>116</v>
      </c>
      <c r="C384" s="99" t="s">
        <v>110</v>
      </c>
      <c r="D384" s="99" t="s">
        <v>143</v>
      </c>
      <c r="E384" s="158">
        <v>11.21</v>
      </c>
    </row>
    <row r="385" spans="1:5" ht="15" hidden="1">
      <c r="A385" s="135" t="s">
        <v>84</v>
      </c>
      <c r="B385" s="152" t="s">
        <v>117</v>
      </c>
      <c r="C385" s="99" t="s">
        <v>110</v>
      </c>
      <c r="D385" s="151" t="s">
        <v>121</v>
      </c>
      <c r="E385" s="136">
        <f>E380+E381</f>
        <v>20.959999999999997</v>
      </c>
    </row>
    <row r="386" spans="1:5" ht="15" hidden="1">
      <c r="A386" s="135" t="s">
        <v>85</v>
      </c>
      <c r="B386" s="152" t="s">
        <v>118</v>
      </c>
      <c r="C386" s="99" t="s">
        <v>110</v>
      </c>
      <c r="D386" s="65"/>
      <c r="E386" s="129">
        <f>E385*1.09</f>
        <v>22.8464</v>
      </c>
    </row>
    <row r="387" spans="1:5" ht="15" hidden="1">
      <c r="A387" s="135" t="s">
        <v>87</v>
      </c>
      <c r="B387" s="152" t="s">
        <v>119</v>
      </c>
      <c r="C387" s="99" t="s">
        <v>110</v>
      </c>
      <c r="D387" s="65"/>
      <c r="E387" s="137">
        <f>E352</f>
        <v>22.31</v>
      </c>
    </row>
    <row r="388" spans="1:5" ht="15" hidden="1">
      <c r="A388" s="135" t="s">
        <v>89</v>
      </c>
      <c r="B388" s="153" t="s">
        <v>120</v>
      </c>
      <c r="C388" s="76" t="s">
        <v>95</v>
      </c>
      <c r="D388" s="65"/>
      <c r="E388" s="129">
        <f>(E385/E387)*100-100</f>
        <v>-6.0510981622590805</v>
      </c>
    </row>
    <row r="389" spans="1:5" ht="15" hidden="1">
      <c r="A389" s="159" t="s">
        <v>167</v>
      </c>
      <c r="B389" s="600" t="s">
        <v>164</v>
      </c>
      <c r="C389" s="582"/>
      <c r="D389" s="582"/>
      <c r="E389" s="584"/>
    </row>
    <row r="390" spans="1:5" ht="15" hidden="1">
      <c r="A390" s="127" t="s">
        <v>15</v>
      </c>
      <c r="B390" s="44" t="s">
        <v>109</v>
      </c>
      <c r="C390" s="148" t="s">
        <v>110</v>
      </c>
      <c r="D390" s="149" t="s">
        <v>111</v>
      </c>
      <c r="E390" s="150">
        <v>0.54</v>
      </c>
    </row>
    <row r="391" spans="1:5" ht="15" hidden="1">
      <c r="A391" s="123" t="s">
        <v>21</v>
      </c>
      <c r="B391" s="65" t="s">
        <v>112</v>
      </c>
      <c r="C391" s="61" t="s">
        <v>110</v>
      </c>
      <c r="D391" s="98" t="s">
        <v>186</v>
      </c>
      <c r="E391" s="144">
        <f>12.85+6.58+0.36</f>
        <v>19.79</v>
      </c>
    </row>
    <row r="392" spans="1:5" ht="15" hidden="1">
      <c r="A392" s="135" t="s">
        <v>60</v>
      </c>
      <c r="B392" s="72" t="s">
        <v>117</v>
      </c>
      <c r="C392" s="64" t="s">
        <v>110</v>
      </c>
      <c r="D392" s="98" t="s">
        <v>121</v>
      </c>
      <c r="E392" s="136">
        <f>E390+E391</f>
        <v>20.33</v>
      </c>
    </row>
    <row r="393" spans="1:5" ht="15.75" hidden="1" thickBot="1">
      <c r="A393" s="138" t="s">
        <v>72</v>
      </c>
      <c r="B393" s="145" t="s">
        <v>118</v>
      </c>
      <c r="C393" s="146" t="s">
        <v>110</v>
      </c>
      <c r="D393" s="141"/>
      <c r="E393" s="147">
        <f>E392*1.21</f>
        <v>24.599299999999996</v>
      </c>
    </row>
    <row r="394" ht="15" hidden="1"/>
    <row r="395" spans="2:4" ht="15" hidden="1">
      <c r="B395" t="s">
        <v>144</v>
      </c>
      <c r="C395" t="s">
        <v>148</v>
      </c>
      <c r="D395" s="101" t="s">
        <v>145</v>
      </c>
    </row>
    <row r="396" ht="15" hidden="1">
      <c r="D396" s="101"/>
    </row>
    <row r="397" spans="1:5" ht="15" hidden="1">
      <c r="A397" s="87" t="s">
        <v>0</v>
      </c>
      <c r="B397" s="87"/>
      <c r="E397" s="87" t="s">
        <v>141</v>
      </c>
    </row>
    <row r="398" spans="1:4" ht="15" hidden="1">
      <c r="A398" s="87" t="s">
        <v>1</v>
      </c>
      <c r="B398" s="87"/>
      <c r="D398" s="87" t="s">
        <v>133</v>
      </c>
    </row>
    <row r="399" spans="1:4" ht="15" hidden="1">
      <c r="A399" s="87" t="s">
        <v>2</v>
      </c>
      <c r="B399" s="87"/>
      <c r="D399" s="87" t="s">
        <v>122</v>
      </c>
    </row>
    <row r="400" spans="1:4" ht="15" hidden="1">
      <c r="A400" s="87" t="s">
        <v>3</v>
      </c>
      <c r="B400" s="87"/>
      <c r="D400" s="87" t="s">
        <v>123</v>
      </c>
    </row>
    <row r="401" spans="1:4" ht="15" hidden="1">
      <c r="A401" s="87" t="s">
        <v>4</v>
      </c>
      <c r="B401" s="87"/>
      <c r="D401" s="87" t="s">
        <v>124</v>
      </c>
    </row>
    <row r="402" spans="1:4" ht="15" hidden="1">
      <c r="A402" s="87" t="s">
        <v>5</v>
      </c>
      <c r="B402" s="87"/>
      <c r="D402" s="87" t="s">
        <v>125</v>
      </c>
    </row>
    <row r="403" ht="15" hidden="1"/>
    <row r="404" spans="1:5" ht="15.75" hidden="1">
      <c r="A404" s="96"/>
      <c r="B404" s="96" t="s">
        <v>197</v>
      </c>
      <c r="C404" s="96"/>
      <c r="D404" s="96"/>
      <c r="E404" s="96"/>
    </row>
    <row r="405" spans="3:4" ht="15" hidden="1">
      <c r="C405" s="175">
        <v>41838</v>
      </c>
      <c r="D405" s="97"/>
    </row>
    <row r="406" ht="15" hidden="1">
      <c r="C406" s="102" t="s">
        <v>146</v>
      </c>
    </row>
    <row r="407" spans="1:2" ht="15" hidden="1">
      <c r="A407" s="2" t="s">
        <v>6</v>
      </c>
      <c r="B407" s="2"/>
    </row>
    <row r="408" spans="1:2" ht="15" hidden="1">
      <c r="A408" s="1" t="s">
        <v>150</v>
      </c>
      <c r="B408" s="1"/>
    </row>
    <row r="409" spans="1:2" ht="15" hidden="1">
      <c r="A409" s="1" t="s">
        <v>7</v>
      </c>
      <c r="B409" s="1"/>
    </row>
    <row r="410" spans="1:2" ht="15.75" hidden="1" thickBot="1">
      <c r="A410" s="176" t="s">
        <v>198</v>
      </c>
      <c r="B410" s="176"/>
    </row>
    <row r="411" spans="1:5" ht="15" hidden="1">
      <c r="A411" s="117" t="s">
        <v>8</v>
      </c>
      <c r="B411" s="118" t="s">
        <v>9</v>
      </c>
      <c r="C411" s="118" t="s">
        <v>10</v>
      </c>
      <c r="D411" s="118" t="s">
        <v>11</v>
      </c>
      <c r="E411" s="120" t="s">
        <v>12</v>
      </c>
    </row>
    <row r="412" spans="1:5" ht="15" hidden="1">
      <c r="A412" s="160" t="s">
        <v>166</v>
      </c>
      <c r="B412" s="599" t="s">
        <v>171</v>
      </c>
      <c r="C412" s="596"/>
      <c r="D412" s="596"/>
      <c r="E412" s="598"/>
    </row>
    <row r="413" spans="1:5" ht="15" hidden="1">
      <c r="A413" s="127" t="s">
        <v>15</v>
      </c>
      <c r="B413" s="24" t="s">
        <v>109</v>
      </c>
      <c r="C413" s="99" t="s">
        <v>110</v>
      </c>
      <c r="D413" s="151" t="s">
        <v>111</v>
      </c>
      <c r="E413" s="156">
        <v>0.54</v>
      </c>
    </row>
    <row r="414" spans="1:5" ht="15" hidden="1">
      <c r="A414" s="127" t="s">
        <v>21</v>
      </c>
      <c r="B414" s="65" t="s">
        <v>112</v>
      </c>
      <c r="C414" s="99" t="s">
        <v>110</v>
      </c>
      <c r="D414" s="151" t="s">
        <v>185</v>
      </c>
      <c r="E414" s="144">
        <f>13.26+10.03+0.42</f>
        <v>23.71</v>
      </c>
    </row>
    <row r="415" spans="1:5" ht="15" hidden="1">
      <c r="A415" s="157" t="s">
        <v>60</v>
      </c>
      <c r="B415" s="60" t="s">
        <v>113</v>
      </c>
      <c r="C415" s="11" t="s">
        <v>59</v>
      </c>
      <c r="D415" s="60"/>
      <c r="E415" s="129">
        <v>25.16</v>
      </c>
    </row>
    <row r="416" spans="1:5" ht="15" hidden="1">
      <c r="A416" s="157" t="s">
        <v>72</v>
      </c>
      <c r="B416" s="60" t="s">
        <v>114</v>
      </c>
      <c r="C416" s="99" t="s">
        <v>110</v>
      </c>
      <c r="D416" s="99" t="s">
        <v>143</v>
      </c>
      <c r="E416" s="128">
        <v>9.74</v>
      </c>
    </row>
    <row r="417" spans="1:5" ht="15" hidden="1">
      <c r="A417" s="157" t="s">
        <v>115</v>
      </c>
      <c r="B417" s="60" t="s">
        <v>116</v>
      </c>
      <c r="C417" s="99" t="s">
        <v>110</v>
      </c>
      <c r="D417" s="99" t="s">
        <v>143</v>
      </c>
      <c r="E417" s="158">
        <v>13.05</v>
      </c>
    </row>
    <row r="418" spans="1:5" ht="15" hidden="1">
      <c r="A418" s="135" t="s">
        <v>84</v>
      </c>
      <c r="B418" s="152" t="s">
        <v>117</v>
      </c>
      <c r="C418" s="99" t="s">
        <v>110</v>
      </c>
      <c r="D418" s="151" t="s">
        <v>121</v>
      </c>
      <c r="E418" s="136">
        <f>E413+E414</f>
        <v>24.25</v>
      </c>
    </row>
    <row r="419" spans="1:5" ht="15" hidden="1">
      <c r="A419" s="135" t="s">
        <v>85</v>
      </c>
      <c r="B419" s="152" t="s">
        <v>118</v>
      </c>
      <c r="C419" s="99" t="s">
        <v>110</v>
      </c>
      <c r="D419" s="65"/>
      <c r="E419" s="129">
        <f>E418*1.09</f>
        <v>26.4325</v>
      </c>
    </row>
    <row r="420" spans="1:5" ht="15" hidden="1">
      <c r="A420" s="135" t="s">
        <v>87</v>
      </c>
      <c r="B420" s="152" t="s">
        <v>119</v>
      </c>
      <c r="C420" s="99" t="s">
        <v>110</v>
      </c>
      <c r="D420" s="65"/>
      <c r="E420" s="137">
        <f>E385</f>
        <v>20.959999999999997</v>
      </c>
    </row>
    <row r="421" spans="1:5" ht="15" hidden="1">
      <c r="A421" s="135" t="s">
        <v>89</v>
      </c>
      <c r="B421" s="153" t="s">
        <v>120</v>
      </c>
      <c r="C421" s="76" t="s">
        <v>95</v>
      </c>
      <c r="D421" s="65"/>
      <c r="E421" s="129">
        <f>(E418/E420)*100-100</f>
        <v>15.696564885496201</v>
      </c>
    </row>
    <row r="422" spans="1:5" ht="15" hidden="1">
      <c r="A422" s="159" t="s">
        <v>167</v>
      </c>
      <c r="B422" s="600" t="s">
        <v>164</v>
      </c>
      <c r="C422" s="582"/>
      <c r="D422" s="582"/>
      <c r="E422" s="584"/>
    </row>
    <row r="423" spans="1:5" ht="15" hidden="1">
      <c r="A423" s="127" t="s">
        <v>15</v>
      </c>
      <c r="B423" s="44" t="s">
        <v>109</v>
      </c>
      <c r="C423" s="148" t="s">
        <v>110</v>
      </c>
      <c r="D423" s="149" t="s">
        <v>111</v>
      </c>
      <c r="E423" s="150">
        <v>0.54</v>
      </c>
    </row>
    <row r="424" spans="1:5" ht="15" hidden="1">
      <c r="A424" s="123" t="s">
        <v>21</v>
      </c>
      <c r="B424" s="65" t="s">
        <v>112</v>
      </c>
      <c r="C424" s="61" t="s">
        <v>110</v>
      </c>
      <c r="D424" s="98" t="s">
        <v>186</v>
      </c>
      <c r="E424" s="144">
        <f>12.83+9.74+0.42</f>
        <v>22.990000000000002</v>
      </c>
    </row>
    <row r="425" spans="1:5" ht="15" hidden="1">
      <c r="A425" s="135" t="s">
        <v>60</v>
      </c>
      <c r="B425" s="72" t="s">
        <v>117</v>
      </c>
      <c r="C425" s="64" t="s">
        <v>110</v>
      </c>
      <c r="D425" s="98" t="s">
        <v>121</v>
      </c>
      <c r="E425" s="136">
        <f>E423+E424</f>
        <v>23.53</v>
      </c>
    </row>
    <row r="426" spans="1:5" ht="15.75" hidden="1" thickBot="1">
      <c r="A426" s="138" t="s">
        <v>72</v>
      </c>
      <c r="B426" s="145" t="s">
        <v>118</v>
      </c>
      <c r="C426" s="146" t="s">
        <v>110</v>
      </c>
      <c r="D426" s="141"/>
      <c r="E426" s="147">
        <f>E425*1.21</f>
        <v>28.4713</v>
      </c>
    </row>
    <row r="427" ht="15" hidden="1"/>
    <row r="428" spans="2:4" ht="15" hidden="1">
      <c r="B428" t="s">
        <v>144</v>
      </c>
      <c r="C428" t="s">
        <v>148</v>
      </c>
      <c r="D428" s="101" t="s">
        <v>145</v>
      </c>
    </row>
    <row r="429" ht="15" hidden="1">
      <c r="D429" s="101"/>
    </row>
    <row r="430" ht="7.5" customHeight="1" hidden="1">
      <c r="D430" s="101"/>
    </row>
    <row r="431" spans="1:5" ht="10.5" customHeight="1" hidden="1">
      <c r="A431" s="87" t="s">
        <v>0</v>
      </c>
      <c r="B431" s="87"/>
      <c r="E431" s="87" t="s">
        <v>141</v>
      </c>
    </row>
    <row r="432" spans="1:4" ht="10.5" customHeight="1" hidden="1">
      <c r="A432" s="87" t="s">
        <v>1</v>
      </c>
      <c r="B432" s="87"/>
      <c r="D432" s="87" t="s">
        <v>133</v>
      </c>
    </row>
    <row r="433" spans="1:4" ht="10.5" customHeight="1" hidden="1">
      <c r="A433" s="87" t="s">
        <v>2</v>
      </c>
      <c r="B433" s="87"/>
      <c r="D433" s="87" t="s">
        <v>122</v>
      </c>
    </row>
    <row r="434" spans="1:4" ht="10.5" customHeight="1" hidden="1">
      <c r="A434" s="87" t="s">
        <v>3</v>
      </c>
      <c r="B434" s="87"/>
      <c r="D434" s="87" t="s">
        <v>123</v>
      </c>
    </row>
    <row r="435" spans="1:4" ht="10.5" customHeight="1" hidden="1">
      <c r="A435" s="87" t="s">
        <v>4</v>
      </c>
      <c r="B435" s="87"/>
      <c r="D435" s="87" t="s">
        <v>124</v>
      </c>
    </row>
    <row r="436" spans="1:4" ht="10.5" customHeight="1" hidden="1">
      <c r="A436" s="87" t="s">
        <v>5</v>
      </c>
      <c r="B436" s="87"/>
      <c r="D436" s="87" t="s">
        <v>125</v>
      </c>
    </row>
    <row r="437" ht="12.75" customHeight="1" hidden="1"/>
    <row r="438" spans="1:5" ht="12.75" customHeight="1" hidden="1">
      <c r="A438" s="96"/>
      <c r="B438" s="96" t="s">
        <v>200</v>
      </c>
      <c r="C438" s="96"/>
      <c r="D438" s="96"/>
      <c r="E438" s="96"/>
    </row>
    <row r="439" spans="3:4" ht="10.5" customHeight="1" hidden="1">
      <c r="C439" s="175">
        <v>41872</v>
      </c>
      <c r="D439" s="97"/>
    </row>
    <row r="440" ht="10.5" customHeight="1" hidden="1">
      <c r="C440" s="102" t="s">
        <v>146</v>
      </c>
    </row>
    <row r="441" spans="1:2" ht="10.5" customHeight="1" hidden="1">
      <c r="A441" s="2" t="s">
        <v>6</v>
      </c>
      <c r="B441" s="2"/>
    </row>
    <row r="442" spans="1:2" ht="10.5" customHeight="1" hidden="1">
      <c r="A442" s="1" t="s">
        <v>150</v>
      </c>
      <c r="B442" s="1"/>
    </row>
    <row r="443" spans="1:2" ht="10.5" customHeight="1" hidden="1">
      <c r="A443" s="1" t="s">
        <v>7</v>
      </c>
      <c r="B443" s="1"/>
    </row>
    <row r="444" spans="1:2" ht="15.75" hidden="1" thickBot="1">
      <c r="A444" s="176" t="s">
        <v>198</v>
      </c>
      <c r="B444" s="176"/>
    </row>
    <row r="445" spans="1:5" ht="15" hidden="1">
      <c r="A445" s="117" t="s">
        <v>8</v>
      </c>
      <c r="B445" s="118" t="s">
        <v>9</v>
      </c>
      <c r="C445" s="118" t="s">
        <v>10</v>
      </c>
      <c r="D445" s="118" t="s">
        <v>11</v>
      </c>
      <c r="E445" s="120" t="s">
        <v>12</v>
      </c>
    </row>
    <row r="446" spans="1:5" ht="13.5" customHeight="1" hidden="1">
      <c r="A446" s="236" t="s">
        <v>166</v>
      </c>
      <c r="B446" s="595" t="s">
        <v>171</v>
      </c>
      <c r="C446" s="596"/>
      <c r="D446" s="597"/>
      <c r="E446" s="598"/>
    </row>
    <row r="447" spans="1:5" ht="12" customHeight="1" hidden="1">
      <c r="A447" s="593" t="s">
        <v>15</v>
      </c>
      <c r="B447" s="587" t="s">
        <v>109</v>
      </c>
      <c r="C447" s="247" t="s">
        <v>110</v>
      </c>
      <c r="D447" s="574" t="s">
        <v>111</v>
      </c>
      <c r="E447" s="249">
        <v>0.54</v>
      </c>
    </row>
    <row r="448" spans="1:5" ht="12" customHeight="1" hidden="1">
      <c r="A448" s="594"/>
      <c r="B448" s="588"/>
      <c r="C448" s="248" t="s">
        <v>203</v>
      </c>
      <c r="D448" s="575"/>
      <c r="E448" s="250">
        <f>E447/3.4528</f>
        <v>0.15639481000926786</v>
      </c>
    </row>
    <row r="449" spans="1:5" ht="12" customHeight="1" hidden="1">
      <c r="A449" s="593" t="s">
        <v>21</v>
      </c>
      <c r="B449" s="589" t="s">
        <v>112</v>
      </c>
      <c r="C449" s="247" t="s">
        <v>110</v>
      </c>
      <c r="D449" s="574" t="s">
        <v>185</v>
      </c>
      <c r="E449" s="251">
        <f>13.43+10.03+0.42</f>
        <v>23.880000000000003</v>
      </c>
    </row>
    <row r="450" spans="1:5" ht="12" customHeight="1" hidden="1">
      <c r="A450" s="594"/>
      <c r="B450" s="590"/>
      <c r="C450" s="248" t="s">
        <v>203</v>
      </c>
      <c r="D450" s="575"/>
      <c r="E450" s="241">
        <f>E449/3.4528</f>
        <v>6.916126042632068</v>
      </c>
    </row>
    <row r="451" spans="1:5" ht="12" customHeight="1" hidden="1">
      <c r="A451" s="237" t="s">
        <v>60</v>
      </c>
      <c r="B451" s="238" t="s">
        <v>113</v>
      </c>
      <c r="C451" s="11" t="s">
        <v>59</v>
      </c>
      <c r="D451" s="238"/>
      <c r="E451" s="129">
        <v>25.48</v>
      </c>
    </row>
    <row r="452" spans="1:5" ht="12" customHeight="1" hidden="1">
      <c r="A452" s="157" t="s">
        <v>72</v>
      </c>
      <c r="B452" s="60" t="s">
        <v>114</v>
      </c>
      <c r="C452" s="99" t="s">
        <v>110</v>
      </c>
      <c r="D452" s="99" t="s">
        <v>143</v>
      </c>
      <c r="E452" s="128">
        <v>9.74</v>
      </c>
    </row>
    <row r="453" spans="1:5" ht="12" customHeight="1" hidden="1">
      <c r="A453" s="243" t="s">
        <v>115</v>
      </c>
      <c r="B453" s="244" t="s">
        <v>116</v>
      </c>
      <c r="C453" s="99" t="s">
        <v>110</v>
      </c>
      <c r="D453" s="253" t="s">
        <v>143</v>
      </c>
      <c r="E453" s="158">
        <v>13.05</v>
      </c>
    </row>
    <row r="454" spans="1:6" ht="12" customHeight="1" hidden="1">
      <c r="A454" s="591" t="s">
        <v>84</v>
      </c>
      <c r="B454" s="572" t="s">
        <v>117</v>
      </c>
      <c r="C454" s="247" t="s">
        <v>110</v>
      </c>
      <c r="D454" s="574" t="s">
        <v>121</v>
      </c>
      <c r="E454" s="252">
        <f>E447+E449</f>
        <v>24.42</v>
      </c>
      <c r="F454" s="143">
        <f>E454/3.4528</f>
        <v>7.072520852641335</v>
      </c>
    </row>
    <row r="455" spans="1:6" ht="12" customHeight="1" hidden="1">
      <c r="A455" s="592"/>
      <c r="B455" s="573"/>
      <c r="C455" s="248" t="s">
        <v>203</v>
      </c>
      <c r="D455" s="575"/>
      <c r="E455" s="254">
        <f>E454/3.4528</f>
        <v>7.072520852641335</v>
      </c>
      <c r="F455" s="143"/>
    </row>
    <row r="456" spans="1:6" ht="12" customHeight="1" hidden="1">
      <c r="A456" s="591" t="s">
        <v>85</v>
      </c>
      <c r="B456" s="577" t="s">
        <v>118</v>
      </c>
      <c r="C456" s="247" t="s">
        <v>110</v>
      </c>
      <c r="D456" s="239"/>
      <c r="E456" s="255">
        <f>E454*1.09</f>
        <v>26.617800000000003</v>
      </c>
      <c r="F456" s="143">
        <f>E456/3.4528</f>
        <v>7.709047729379056</v>
      </c>
    </row>
    <row r="457" spans="1:6" ht="12" customHeight="1" hidden="1">
      <c r="A457" s="592"/>
      <c r="B457" s="579"/>
      <c r="C457" s="248" t="s">
        <v>203</v>
      </c>
      <c r="D457" s="240"/>
      <c r="E457" s="250">
        <f>E456/3.4528</f>
        <v>7.709047729379056</v>
      </c>
      <c r="F457" s="143"/>
    </row>
    <row r="458" spans="1:6" ht="12" customHeight="1" hidden="1">
      <c r="A458" s="245" t="s">
        <v>87</v>
      </c>
      <c r="B458" s="246" t="s">
        <v>119</v>
      </c>
      <c r="C458" s="99" t="s">
        <v>110</v>
      </c>
      <c r="D458" s="240"/>
      <c r="E458" s="137">
        <f>E418</f>
        <v>24.25</v>
      </c>
      <c r="F458" s="143">
        <f>E458/3.4528</f>
        <v>7.0232854494902694</v>
      </c>
    </row>
    <row r="459" spans="1:5" ht="12" customHeight="1" hidden="1">
      <c r="A459" s="135" t="s">
        <v>89</v>
      </c>
      <c r="B459" s="153" t="s">
        <v>120</v>
      </c>
      <c r="C459" s="76" t="s">
        <v>95</v>
      </c>
      <c r="D459" s="65"/>
      <c r="E459" s="129">
        <f>(E454/E458)*100-100</f>
        <v>0.7010309278350633</v>
      </c>
    </row>
    <row r="460" spans="1:5" ht="12" customHeight="1" hidden="1">
      <c r="A460" s="159" t="s">
        <v>167</v>
      </c>
      <c r="B460" s="581" t="s">
        <v>164</v>
      </c>
      <c r="C460" s="582"/>
      <c r="D460" s="583"/>
      <c r="E460" s="584"/>
    </row>
    <row r="461" spans="1:5" ht="12" customHeight="1" hidden="1">
      <c r="A461" s="593" t="s">
        <v>15</v>
      </c>
      <c r="B461" s="587" t="s">
        <v>109</v>
      </c>
      <c r="C461" s="148" t="s">
        <v>110</v>
      </c>
      <c r="D461" s="574" t="s">
        <v>111</v>
      </c>
      <c r="E461" s="257">
        <v>0.54</v>
      </c>
    </row>
    <row r="462" spans="1:5" ht="12" customHeight="1" hidden="1">
      <c r="A462" s="594"/>
      <c r="B462" s="588"/>
      <c r="C462" s="248" t="s">
        <v>203</v>
      </c>
      <c r="D462" s="575"/>
      <c r="E462" s="250">
        <f>E461/3.4528</f>
        <v>0.15639481000926786</v>
      </c>
    </row>
    <row r="463" spans="1:5" ht="12" customHeight="1" hidden="1">
      <c r="A463" s="593" t="s">
        <v>21</v>
      </c>
      <c r="B463" s="589" t="s">
        <v>112</v>
      </c>
      <c r="C463" s="61" t="s">
        <v>110</v>
      </c>
      <c r="D463" s="574" t="s">
        <v>186</v>
      </c>
      <c r="E463" s="251">
        <f>12.99+9.74+0.42</f>
        <v>23.150000000000002</v>
      </c>
    </row>
    <row r="464" spans="1:5" ht="12" customHeight="1" hidden="1">
      <c r="A464" s="594"/>
      <c r="B464" s="590"/>
      <c r="C464" s="248" t="s">
        <v>203</v>
      </c>
      <c r="D464" s="575"/>
      <c r="E464" s="250">
        <f>E463/3.4528</f>
        <v>6.70470342910102</v>
      </c>
    </row>
    <row r="465" spans="1:6" ht="12" customHeight="1" hidden="1">
      <c r="A465" s="591" t="s">
        <v>60</v>
      </c>
      <c r="B465" s="572" t="s">
        <v>117</v>
      </c>
      <c r="C465" s="256" t="s">
        <v>110</v>
      </c>
      <c r="D465" s="574" t="s">
        <v>121</v>
      </c>
      <c r="E465" s="252">
        <f>E461+E463</f>
        <v>23.69</v>
      </c>
      <c r="F465" s="143">
        <f>E465/3.4528</f>
        <v>6.861098239110288</v>
      </c>
    </row>
    <row r="466" spans="1:6" ht="12" customHeight="1" hidden="1">
      <c r="A466" s="592"/>
      <c r="B466" s="573"/>
      <c r="C466" s="248" t="s">
        <v>203</v>
      </c>
      <c r="D466" s="575"/>
      <c r="E466" s="250">
        <f>E465/3.4528</f>
        <v>6.861098239110288</v>
      </c>
      <c r="F466" s="143"/>
    </row>
    <row r="467" spans="1:6" ht="12.75" customHeight="1" hidden="1">
      <c r="A467" s="591" t="s">
        <v>72</v>
      </c>
      <c r="B467" s="577" t="s">
        <v>118</v>
      </c>
      <c r="C467" s="61" t="s">
        <v>110</v>
      </c>
      <c r="D467" s="258"/>
      <c r="E467" s="113">
        <f>E465*1.21</f>
        <v>28.6649</v>
      </c>
      <c r="F467" s="143">
        <f>E467/3.4528</f>
        <v>8.301928869323447</v>
      </c>
    </row>
    <row r="468" spans="1:6" ht="12.75" customHeight="1" hidden="1">
      <c r="A468" s="592"/>
      <c r="B468" s="579"/>
      <c r="C468" s="248" t="s">
        <v>203</v>
      </c>
      <c r="D468" s="240"/>
      <c r="E468" s="259">
        <f>E467/3.4528</f>
        <v>8.301928869323447</v>
      </c>
      <c r="F468" s="143"/>
    </row>
    <row r="469" ht="15" hidden="1"/>
    <row r="470" spans="2:4" ht="15" hidden="1">
      <c r="B470" t="s">
        <v>144</v>
      </c>
      <c r="C470" t="s">
        <v>148</v>
      </c>
      <c r="D470" s="101" t="s">
        <v>145</v>
      </c>
    </row>
    <row r="471" ht="15" hidden="1">
      <c r="D471" s="101"/>
    </row>
    <row r="472" ht="15" hidden="1">
      <c r="D472" s="101"/>
    </row>
    <row r="473" spans="1:5" ht="15" hidden="1">
      <c r="A473" s="87" t="s">
        <v>0</v>
      </c>
      <c r="B473" s="87"/>
      <c r="E473" s="87" t="s">
        <v>141</v>
      </c>
    </row>
    <row r="474" spans="1:4" ht="15" hidden="1">
      <c r="A474" s="87" t="s">
        <v>1</v>
      </c>
      <c r="B474" s="87"/>
      <c r="D474" s="87" t="s">
        <v>133</v>
      </c>
    </row>
    <row r="475" spans="1:4" ht="15" hidden="1">
      <c r="A475" s="87" t="s">
        <v>2</v>
      </c>
      <c r="B475" s="87"/>
      <c r="D475" s="87" t="s">
        <v>122</v>
      </c>
    </row>
    <row r="476" spans="1:4" ht="15" hidden="1">
      <c r="A476" s="87" t="s">
        <v>3</v>
      </c>
      <c r="B476" s="87"/>
      <c r="D476" s="87" t="s">
        <v>123</v>
      </c>
    </row>
    <row r="477" spans="1:4" ht="15" hidden="1">
      <c r="A477" s="87" t="s">
        <v>4</v>
      </c>
      <c r="B477" s="87"/>
      <c r="D477" s="87" t="s">
        <v>124</v>
      </c>
    </row>
    <row r="478" spans="1:4" ht="0.75" customHeight="1" hidden="1">
      <c r="A478" s="87" t="s">
        <v>5</v>
      </c>
      <c r="B478" s="87"/>
      <c r="D478" s="87" t="s">
        <v>125</v>
      </c>
    </row>
    <row r="479" spans="1:5" ht="15.75" hidden="1">
      <c r="A479" s="96"/>
      <c r="B479" s="96" t="s">
        <v>205</v>
      </c>
      <c r="C479" s="96"/>
      <c r="D479" s="96"/>
      <c r="E479" s="96"/>
    </row>
    <row r="480" spans="3:4" ht="11.25" customHeight="1" hidden="1">
      <c r="C480" s="175">
        <v>41812</v>
      </c>
      <c r="D480" s="97"/>
    </row>
    <row r="481" ht="11.25" customHeight="1" hidden="1">
      <c r="C481" s="102" t="s">
        <v>146</v>
      </c>
    </row>
    <row r="482" spans="1:2" ht="12" customHeight="1" hidden="1">
      <c r="A482" s="2" t="s">
        <v>6</v>
      </c>
      <c r="B482" s="2"/>
    </row>
    <row r="483" spans="1:2" ht="12" customHeight="1" hidden="1">
      <c r="A483" s="1" t="s">
        <v>150</v>
      </c>
      <c r="B483" s="1"/>
    </row>
    <row r="484" spans="1:2" ht="12" customHeight="1" hidden="1">
      <c r="A484" s="1" t="s">
        <v>7</v>
      </c>
      <c r="B484" s="1"/>
    </row>
    <row r="485" spans="1:2" ht="12" customHeight="1" hidden="1" thickBot="1">
      <c r="A485" s="176" t="s">
        <v>198</v>
      </c>
      <c r="B485" s="176"/>
    </row>
    <row r="486" spans="1:5" ht="15" hidden="1">
      <c r="A486" s="117" t="s">
        <v>8</v>
      </c>
      <c r="B486" s="118" t="s">
        <v>9</v>
      </c>
      <c r="C486" s="118" t="s">
        <v>10</v>
      </c>
      <c r="D486" s="118" t="s">
        <v>11</v>
      </c>
      <c r="E486" s="120" t="s">
        <v>12</v>
      </c>
    </row>
    <row r="487" spans="1:5" ht="15" hidden="1">
      <c r="A487" s="236" t="s">
        <v>166</v>
      </c>
      <c r="B487" s="595" t="s">
        <v>171</v>
      </c>
      <c r="C487" s="596"/>
      <c r="D487" s="597"/>
      <c r="E487" s="598"/>
    </row>
    <row r="488" spans="1:5" ht="12" customHeight="1" hidden="1">
      <c r="A488" s="593" t="s">
        <v>15</v>
      </c>
      <c r="B488" s="587" t="s">
        <v>109</v>
      </c>
      <c r="C488" s="247" t="s">
        <v>110</v>
      </c>
      <c r="D488" s="574" t="s">
        <v>111</v>
      </c>
      <c r="E488" s="249">
        <v>0.54</v>
      </c>
    </row>
    <row r="489" spans="1:5" ht="12" customHeight="1" hidden="1">
      <c r="A489" s="594"/>
      <c r="B489" s="588"/>
      <c r="C489" s="248" t="s">
        <v>203</v>
      </c>
      <c r="D489" s="575"/>
      <c r="E489" s="250">
        <f>E488/3.4528</f>
        <v>0.15639481000926786</v>
      </c>
    </row>
    <row r="490" spans="1:5" ht="12" customHeight="1" hidden="1">
      <c r="A490" s="593" t="s">
        <v>21</v>
      </c>
      <c r="B490" s="589" t="s">
        <v>112</v>
      </c>
      <c r="C490" s="247" t="s">
        <v>110</v>
      </c>
      <c r="D490" s="574" t="s">
        <v>185</v>
      </c>
      <c r="E490" s="251">
        <f>13.47+10.03+0.42</f>
        <v>23.92</v>
      </c>
    </row>
    <row r="491" spans="1:5" ht="12" customHeight="1" hidden="1">
      <c r="A491" s="594"/>
      <c r="B491" s="590"/>
      <c r="C491" s="248" t="s">
        <v>203</v>
      </c>
      <c r="D491" s="575"/>
      <c r="E491" s="241">
        <f>E490/3.4528</f>
        <v>6.927710843373495</v>
      </c>
    </row>
    <row r="492" spans="1:5" ht="15" hidden="1">
      <c r="A492" s="237" t="s">
        <v>60</v>
      </c>
      <c r="B492" s="238" t="s">
        <v>113</v>
      </c>
      <c r="C492" s="11" t="s">
        <v>59</v>
      </c>
      <c r="D492" s="238"/>
      <c r="E492" s="129">
        <v>25.57</v>
      </c>
    </row>
    <row r="493" spans="1:5" ht="15" hidden="1">
      <c r="A493" s="157" t="s">
        <v>72</v>
      </c>
      <c r="B493" s="60" t="s">
        <v>114</v>
      </c>
      <c r="C493" s="99" t="s">
        <v>110</v>
      </c>
      <c r="D493" s="99" t="s">
        <v>143</v>
      </c>
      <c r="E493" s="128">
        <v>9.74</v>
      </c>
    </row>
    <row r="494" spans="1:5" ht="15" hidden="1">
      <c r="A494" s="243" t="s">
        <v>115</v>
      </c>
      <c r="B494" s="244" t="s">
        <v>116</v>
      </c>
      <c r="C494" s="99" t="s">
        <v>110</v>
      </c>
      <c r="D494" s="253" t="s">
        <v>143</v>
      </c>
      <c r="E494" s="158">
        <v>13.05</v>
      </c>
    </row>
    <row r="495" spans="1:6" ht="12" customHeight="1" hidden="1">
      <c r="A495" s="591" t="s">
        <v>84</v>
      </c>
      <c r="B495" s="572" t="s">
        <v>117</v>
      </c>
      <c r="C495" s="247" t="s">
        <v>110</v>
      </c>
      <c r="D495" s="574" t="s">
        <v>121</v>
      </c>
      <c r="E495" s="252">
        <f>E488+E490</f>
        <v>24.46</v>
      </c>
      <c r="F495" s="143">
        <f>E495/3.4528</f>
        <v>7.084105653382762</v>
      </c>
    </row>
    <row r="496" spans="1:6" ht="12" customHeight="1" hidden="1">
      <c r="A496" s="592"/>
      <c r="B496" s="573"/>
      <c r="C496" s="248" t="s">
        <v>203</v>
      </c>
      <c r="D496" s="575"/>
      <c r="E496" s="254">
        <f>E495/3.4528</f>
        <v>7.084105653382762</v>
      </c>
      <c r="F496" s="143"/>
    </row>
    <row r="497" spans="1:6" ht="12" customHeight="1" hidden="1">
      <c r="A497" s="591" t="s">
        <v>85</v>
      </c>
      <c r="B497" s="577" t="s">
        <v>118</v>
      </c>
      <c r="C497" s="247" t="s">
        <v>110</v>
      </c>
      <c r="D497" s="239"/>
      <c r="E497" s="255">
        <f>E495*1.09</f>
        <v>26.661400000000004</v>
      </c>
      <c r="F497" s="143">
        <f>E497/3.4528</f>
        <v>7.7216751621872115</v>
      </c>
    </row>
    <row r="498" spans="1:6" ht="12" customHeight="1" hidden="1">
      <c r="A498" s="592"/>
      <c r="B498" s="579"/>
      <c r="C498" s="248" t="s">
        <v>203</v>
      </c>
      <c r="D498" s="240"/>
      <c r="E498" s="250">
        <f>E497/3.4528</f>
        <v>7.7216751621872115</v>
      </c>
      <c r="F498" s="143"/>
    </row>
    <row r="499" spans="1:6" ht="15" hidden="1">
      <c r="A499" s="245" t="s">
        <v>87</v>
      </c>
      <c r="B499" s="246" t="s">
        <v>119</v>
      </c>
      <c r="C499" s="99" t="s">
        <v>110</v>
      </c>
      <c r="D499" s="240"/>
      <c r="E499" s="137">
        <f>E454</f>
        <v>24.42</v>
      </c>
      <c r="F499" s="143">
        <f>E499/3.4528</f>
        <v>7.072520852641335</v>
      </c>
    </row>
    <row r="500" spans="1:5" ht="15" hidden="1">
      <c r="A500" s="135" t="s">
        <v>89</v>
      </c>
      <c r="B500" s="153" t="s">
        <v>120</v>
      </c>
      <c r="C500" s="76" t="s">
        <v>95</v>
      </c>
      <c r="D500" s="65"/>
      <c r="E500" s="129">
        <f>(E495/E499)*100-100</f>
        <v>0.16380016380014695</v>
      </c>
    </row>
    <row r="501" spans="1:5" ht="15" hidden="1">
      <c r="A501" s="159" t="s">
        <v>167</v>
      </c>
      <c r="B501" s="581" t="s">
        <v>164</v>
      </c>
      <c r="C501" s="582"/>
      <c r="D501" s="583"/>
      <c r="E501" s="584"/>
    </row>
    <row r="502" spans="1:5" ht="11.25" customHeight="1" hidden="1">
      <c r="A502" s="593" t="s">
        <v>15</v>
      </c>
      <c r="B502" s="587" t="s">
        <v>109</v>
      </c>
      <c r="C502" s="148" t="s">
        <v>110</v>
      </c>
      <c r="D502" s="574" t="s">
        <v>111</v>
      </c>
      <c r="E502" s="257">
        <v>0.54</v>
      </c>
    </row>
    <row r="503" spans="1:5" ht="11.25" customHeight="1" hidden="1">
      <c r="A503" s="594"/>
      <c r="B503" s="588"/>
      <c r="C503" s="248" t="s">
        <v>203</v>
      </c>
      <c r="D503" s="575"/>
      <c r="E503" s="250">
        <f>E502/3.4528</f>
        <v>0.15639481000926786</v>
      </c>
    </row>
    <row r="504" spans="1:5" ht="11.25" customHeight="1" hidden="1">
      <c r="A504" s="593" t="s">
        <v>21</v>
      </c>
      <c r="B504" s="589" t="s">
        <v>112</v>
      </c>
      <c r="C504" s="61" t="s">
        <v>110</v>
      </c>
      <c r="D504" s="574" t="s">
        <v>186</v>
      </c>
      <c r="E504" s="251">
        <f>13.04+9.74+0.42</f>
        <v>23.200000000000003</v>
      </c>
    </row>
    <row r="505" spans="1:5" ht="11.25" customHeight="1" hidden="1">
      <c r="A505" s="594"/>
      <c r="B505" s="590"/>
      <c r="C505" s="248" t="s">
        <v>203</v>
      </c>
      <c r="D505" s="575"/>
      <c r="E505" s="250">
        <f>E504/3.4528</f>
        <v>6.719184430027805</v>
      </c>
    </row>
    <row r="506" spans="1:6" ht="11.25" customHeight="1" hidden="1">
      <c r="A506" s="591" t="s">
        <v>60</v>
      </c>
      <c r="B506" s="572" t="s">
        <v>117</v>
      </c>
      <c r="C506" s="256" t="s">
        <v>110</v>
      </c>
      <c r="D506" s="574" t="s">
        <v>121</v>
      </c>
      <c r="E506" s="252">
        <f>E502+E504</f>
        <v>23.740000000000002</v>
      </c>
      <c r="F506" s="143">
        <f>E506/3.4528</f>
        <v>6.875579240037072</v>
      </c>
    </row>
    <row r="507" spans="1:6" ht="11.25" customHeight="1" hidden="1">
      <c r="A507" s="592"/>
      <c r="B507" s="573"/>
      <c r="C507" s="248" t="s">
        <v>203</v>
      </c>
      <c r="D507" s="575"/>
      <c r="E507" s="250">
        <f>E506/3.4528</f>
        <v>6.875579240037072</v>
      </c>
      <c r="F507" s="143"/>
    </row>
    <row r="508" spans="1:6" ht="11.25" customHeight="1" hidden="1">
      <c r="A508" s="591" t="s">
        <v>72</v>
      </c>
      <c r="B508" s="577" t="s">
        <v>118</v>
      </c>
      <c r="C508" s="61" t="s">
        <v>110</v>
      </c>
      <c r="D508" s="258"/>
      <c r="E508" s="113">
        <f>E506*1.21</f>
        <v>28.7254</v>
      </c>
      <c r="F508" s="143">
        <f>E508/3.4528</f>
        <v>8.319450880444856</v>
      </c>
    </row>
    <row r="509" spans="1:6" ht="11.25" customHeight="1" hidden="1">
      <c r="A509" s="592"/>
      <c r="B509" s="579"/>
      <c r="C509" s="248" t="s">
        <v>203</v>
      </c>
      <c r="D509" s="240"/>
      <c r="E509" s="259">
        <f>E508/3.4528</f>
        <v>8.319450880444856</v>
      </c>
      <c r="F509" s="143"/>
    </row>
    <row r="510" spans="2:4" ht="15" hidden="1">
      <c r="B510" t="s">
        <v>144</v>
      </c>
      <c r="C510" t="s">
        <v>148</v>
      </c>
      <c r="D510" s="101" t="s">
        <v>145</v>
      </c>
    </row>
    <row r="511" ht="15" hidden="1">
      <c r="D511" s="101"/>
    </row>
    <row r="512" ht="15" hidden="1">
      <c r="D512" s="101"/>
    </row>
    <row r="513" spans="1:5" ht="12" customHeight="1" hidden="1">
      <c r="A513" s="87" t="s">
        <v>0</v>
      </c>
      <c r="B513" s="87"/>
      <c r="E513" s="87" t="s">
        <v>141</v>
      </c>
    </row>
    <row r="514" spans="1:4" ht="12" customHeight="1" hidden="1">
      <c r="A514" s="87" t="s">
        <v>1</v>
      </c>
      <c r="B514" s="87"/>
      <c r="D514" s="87" t="s">
        <v>133</v>
      </c>
    </row>
    <row r="515" spans="1:4" ht="12" customHeight="1" hidden="1">
      <c r="A515" s="87" t="s">
        <v>2</v>
      </c>
      <c r="B515" s="87"/>
      <c r="D515" s="87" t="s">
        <v>208</v>
      </c>
    </row>
    <row r="516" spans="1:4" ht="12" customHeight="1" hidden="1">
      <c r="A516" s="87" t="s">
        <v>3</v>
      </c>
      <c r="B516" s="87"/>
      <c r="D516" s="87" t="s">
        <v>123</v>
      </c>
    </row>
    <row r="517" spans="1:4" ht="12" customHeight="1" hidden="1">
      <c r="A517" s="87" t="s">
        <v>4</v>
      </c>
      <c r="B517" s="87"/>
      <c r="D517" s="87" t="s">
        <v>124</v>
      </c>
    </row>
    <row r="518" spans="1:4" ht="12" customHeight="1" hidden="1">
      <c r="A518" s="87" t="s">
        <v>5</v>
      </c>
      <c r="B518" s="87"/>
      <c r="D518" s="87" t="s">
        <v>211</v>
      </c>
    </row>
    <row r="519" spans="1:5" ht="12" customHeight="1" hidden="1">
      <c r="A519" s="96"/>
      <c r="B519" s="96" t="s">
        <v>212</v>
      </c>
      <c r="C519" s="96"/>
      <c r="D519" s="96"/>
      <c r="E519" s="96"/>
    </row>
    <row r="520" spans="3:4" ht="12" customHeight="1" hidden="1">
      <c r="C520" s="175">
        <v>41934</v>
      </c>
      <c r="D520" s="97"/>
    </row>
    <row r="521" ht="12" customHeight="1" hidden="1">
      <c r="C521" s="102" t="s">
        <v>146</v>
      </c>
    </row>
    <row r="522" spans="1:2" ht="12" customHeight="1" hidden="1">
      <c r="A522" s="2" t="s">
        <v>6</v>
      </c>
      <c r="B522" s="2"/>
    </row>
    <row r="523" spans="1:2" ht="12" customHeight="1" hidden="1">
      <c r="A523" s="1" t="s">
        <v>150</v>
      </c>
      <c r="B523" s="1"/>
    </row>
    <row r="524" spans="1:2" ht="12" customHeight="1" hidden="1">
      <c r="A524" s="1" t="s">
        <v>7</v>
      </c>
      <c r="B524" s="1"/>
    </row>
    <row r="525" spans="1:2" ht="12" customHeight="1" hidden="1" thickBot="1">
      <c r="A525" s="176" t="s">
        <v>198</v>
      </c>
      <c r="B525" s="176"/>
    </row>
    <row r="526" spans="1:5" ht="15" hidden="1">
      <c r="A526" s="117" t="s">
        <v>8</v>
      </c>
      <c r="B526" s="118" t="s">
        <v>9</v>
      </c>
      <c r="C526" s="118" t="s">
        <v>10</v>
      </c>
      <c r="D526" s="118" t="s">
        <v>11</v>
      </c>
      <c r="E526" s="120" t="s">
        <v>12</v>
      </c>
    </row>
    <row r="527" spans="1:5" ht="15" hidden="1">
      <c r="A527" s="236" t="s">
        <v>166</v>
      </c>
      <c r="B527" s="595" t="s">
        <v>171</v>
      </c>
      <c r="C527" s="596"/>
      <c r="D527" s="597"/>
      <c r="E527" s="598"/>
    </row>
    <row r="528" spans="1:5" ht="15" hidden="1">
      <c r="A528" s="593" t="s">
        <v>15</v>
      </c>
      <c r="B528" s="587" t="s">
        <v>109</v>
      </c>
      <c r="C528" s="247" t="s">
        <v>110</v>
      </c>
      <c r="D528" s="574" t="s">
        <v>111</v>
      </c>
      <c r="E528" s="249">
        <v>0.54</v>
      </c>
    </row>
    <row r="529" spans="1:5" ht="12" customHeight="1" hidden="1">
      <c r="A529" s="594"/>
      <c r="B529" s="588"/>
      <c r="C529" s="248" t="s">
        <v>203</v>
      </c>
      <c r="D529" s="575"/>
      <c r="E529" s="250">
        <f>E528/3.4528</f>
        <v>0.15639481000926786</v>
      </c>
    </row>
    <row r="530" spans="1:5" ht="12" customHeight="1" hidden="1">
      <c r="A530" s="593" t="s">
        <v>21</v>
      </c>
      <c r="B530" s="589" t="s">
        <v>112</v>
      </c>
      <c r="C530" s="247" t="s">
        <v>110</v>
      </c>
      <c r="D530" s="574" t="s">
        <v>185</v>
      </c>
      <c r="E530" s="251">
        <v>24.22</v>
      </c>
    </row>
    <row r="531" spans="1:5" ht="12" customHeight="1" hidden="1">
      <c r="A531" s="594"/>
      <c r="B531" s="590"/>
      <c r="C531" s="248" t="s">
        <v>203</v>
      </c>
      <c r="D531" s="575"/>
      <c r="E531" s="241">
        <f>E530/3.4528</f>
        <v>7.0145968489341985</v>
      </c>
    </row>
    <row r="532" spans="1:5" ht="12" customHeight="1" hidden="1">
      <c r="A532" s="237" t="s">
        <v>60</v>
      </c>
      <c r="B532" s="238" t="s">
        <v>113</v>
      </c>
      <c r="C532" s="11" t="s">
        <v>59</v>
      </c>
      <c r="D532" s="238"/>
      <c r="E532" s="129">
        <v>26.13</v>
      </c>
    </row>
    <row r="533" spans="1:5" ht="12" customHeight="1" hidden="1">
      <c r="A533" s="157" t="s">
        <v>72</v>
      </c>
      <c r="B533" s="60" t="s">
        <v>114</v>
      </c>
      <c r="C533" s="99" t="s">
        <v>110</v>
      </c>
      <c r="D533" s="99" t="s">
        <v>143</v>
      </c>
      <c r="E533" s="128">
        <v>9.74</v>
      </c>
    </row>
    <row r="534" spans="1:5" ht="12" customHeight="1" hidden="1">
      <c r="A534" s="243" t="s">
        <v>115</v>
      </c>
      <c r="B534" s="244" t="s">
        <v>116</v>
      </c>
      <c r="C534" s="99" t="s">
        <v>110</v>
      </c>
      <c r="D534" s="253" t="s">
        <v>143</v>
      </c>
      <c r="E534" s="158">
        <v>13.05</v>
      </c>
    </row>
    <row r="535" spans="1:5" ht="12.75" customHeight="1" hidden="1">
      <c r="A535" s="591" t="s">
        <v>84</v>
      </c>
      <c r="B535" s="572" t="s">
        <v>117</v>
      </c>
      <c r="C535" s="247" t="s">
        <v>110</v>
      </c>
      <c r="D535" s="574" t="s">
        <v>121</v>
      </c>
      <c r="E535" s="252">
        <f>E528+E530</f>
        <v>24.759999999999998</v>
      </c>
    </row>
    <row r="536" spans="1:5" ht="12.75" customHeight="1" hidden="1">
      <c r="A536" s="592"/>
      <c r="B536" s="573"/>
      <c r="C536" s="248" t="s">
        <v>203</v>
      </c>
      <c r="D536" s="575"/>
      <c r="E536" s="254">
        <f>E535/3.4528</f>
        <v>7.170991658943466</v>
      </c>
    </row>
    <row r="537" spans="1:5" ht="12.75" customHeight="1" hidden="1">
      <c r="A537" s="591" t="s">
        <v>85</v>
      </c>
      <c r="B537" s="577" t="s">
        <v>118</v>
      </c>
      <c r="C537" s="247" t="s">
        <v>110</v>
      </c>
      <c r="D537" s="239"/>
      <c r="E537" s="255">
        <f>E535*1.09</f>
        <v>26.9884</v>
      </c>
    </row>
    <row r="538" spans="1:5" ht="12.75" customHeight="1" hidden="1">
      <c r="A538" s="592"/>
      <c r="B538" s="579"/>
      <c r="C538" s="248" t="s">
        <v>203</v>
      </c>
      <c r="D538" s="240"/>
      <c r="E538" s="250">
        <f>E537/3.4528</f>
        <v>7.816380908248378</v>
      </c>
    </row>
    <row r="539" spans="1:5" ht="15" hidden="1">
      <c r="A539" s="245" t="s">
        <v>87</v>
      </c>
      <c r="B539" s="246" t="s">
        <v>119</v>
      </c>
      <c r="C539" s="99" t="s">
        <v>110</v>
      </c>
      <c r="D539" s="240"/>
      <c r="E539" s="137">
        <v>24.46</v>
      </c>
    </row>
    <row r="540" spans="1:5" ht="15" hidden="1">
      <c r="A540" s="135" t="s">
        <v>89</v>
      </c>
      <c r="B540" s="153" t="s">
        <v>120</v>
      </c>
      <c r="C540" s="76" t="s">
        <v>95</v>
      </c>
      <c r="D540" s="65"/>
      <c r="E540" s="129">
        <f>(E535/E539)*100-100</f>
        <v>1.226492232215847</v>
      </c>
    </row>
    <row r="541" spans="1:5" ht="15" hidden="1">
      <c r="A541" s="159" t="s">
        <v>167</v>
      </c>
      <c r="B541" s="581" t="s">
        <v>164</v>
      </c>
      <c r="C541" s="582"/>
      <c r="D541" s="583"/>
      <c r="E541" s="584"/>
    </row>
    <row r="542" spans="1:5" ht="11.25" customHeight="1" hidden="1">
      <c r="A542" s="593" t="s">
        <v>15</v>
      </c>
      <c r="B542" s="587" t="s">
        <v>109</v>
      </c>
      <c r="C542" s="148" t="s">
        <v>110</v>
      </c>
      <c r="D542" s="574" t="s">
        <v>111</v>
      </c>
      <c r="E542" s="257">
        <v>0.54</v>
      </c>
    </row>
    <row r="543" spans="1:5" ht="11.25" customHeight="1" hidden="1">
      <c r="A543" s="594"/>
      <c r="B543" s="588"/>
      <c r="C543" s="248" t="s">
        <v>203</v>
      </c>
      <c r="D543" s="575"/>
      <c r="E543" s="250">
        <f>E542/3.4528</f>
        <v>0.15639481000926786</v>
      </c>
    </row>
    <row r="544" spans="1:5" ht="11.25" customHeight="1" hidden="1">
      <c r="A544" s="593" t="s">
        <v>21</v>
      </c>
      <c r="B544" s="589" t="s">
        <v>112</v>
      </c>
      <c r="C544" s="61" t="s">
        <v>110</v>
      </c>
      <c r="D544" s="574" t="s">
        <v>186</v>
      </c>
      <c r="E544" s="251">
        <v>23.49</v>
      </c>
    </row>
    <row r="545" spans="1:5" ht="11.25" customHeight="1" hidden="1">
      <c r="A545" s="594"/>
      <c r="B545" s="590"/>
      <c r="C545" s="248" t="s">
        <v>203</v>
      </c>
      <c r="D545" s="575"/>
      <c r="E545" s="250">
        <f>E544/3.4528</f>
        <v>6.803174235403151</v>
      </c>
    </row>
    <row r="546" spans="1:5" ht="11.25" customHeight="1" hidden="1">
      <c r="A546" s="591" t="s">
        <v>60</v>
      </c>
      <c r="B546" s="572" t="s">
        <v>117</v>
      </c>
      <c r="C546" s="256" t="s">
        <v>110</v>
      </c>
      <c r="D546" s="574" t="s">
        <v>121</v>
      </c>
      <c r="E546" s="252">
        <f>E542+E544</f>
        <v>24.029999999999998</v>
      </c>
    </row>
    <row r="547" spans="1:5" ht="11.25" customHeight="1" hidden="1">
      <c r="A547" s="592"/>
      <c r="B547" s="573"/>
      <c r="C547" s="248" t="s">
        <v>203</v>
      </c>
      <c r="D547" s="575"/>
      <c r="E547" s="250">
        <f>E546/3.4528</f>
        <v>6.959569045412419</v>
      </c>
    </row>
    <row r="548" spans="1:5" ht="11.25" customHeight="1" hidden="1">
      <c r="A548" s="591" t="s">
        <v>72</v>
      </c>
      <c r="B548" s="577" t="s">
        <v>118</v>
      </c>
      <c r="C548" s="61" t="s">
        <v>110</v>
      </c>
      <c r="D548" s="258"/>
      <c r="E548" s="113">
        <f>E546*1.21</f>
        <v>29.076299999999996</v>
      </c>
    </row>
    <row r="549" spans="1:5" ht="11.25" customHeight="1" hidden="1">
      <c r="A549" s="592"/>
      <c r="B549" s="579"/>
      <c r="C549" s="248" t="s">
        <v>203</v>
      </c>
      <c r="D549" s="240"/>
      <c r="E549" s="259">
        <f>E548/3.4528</f>
        <v>8.421078544949026</v>
      </c>
    </row>
    <row r="550" spans="2:4" ht="15" hidden="1">
      <c r="B550" t="s">
        <v>144</v>
      </c>
      <c r="C550" t="s">
        <v>148</v>
      </c>
      <c r="D550" s="101" t="s">
        <v>145</v>
      </c>
    </row>
    <row r="551" ht="15" hidden="1">
      <c r="D551" s="101"/>
    </row>
    <row r="552" ht="15" hidden="1">
      <c r="D552" s="101"/>
    </row>
    <row r="553" spans="1:5" ht="12" customHeight="1" hidden="1">
      <c r="A553" s="87" t="s">
        <v>0</v>
      </c>
      <c r="B553" s="87"/>
      <c r="E553" s="87" t="s">
        <v>141</v>
      </c>
    </row>
    <row r="554" spans="1:4" ht="12" customHeight="1" hidden="1">
      <c r="A554" s="87" t="s">
        <v>1</v>
      </c>
      <c r="B554" s="87"/>
      <c r="D554" s="87" t="s">
        <v>133</v>
      </c>
    </row>
    <row r="555" spans="1:4" ht="12" customHeight="1" hidden="1">
      <c r="A555" s="87" t="s">
        <v>2</v>
      </c>
      <c r="B555" s="87"/>
      <c r="D555" s="87"/>
    </row>
    <row r="556" spans="1:4" ht="12" customHeight="1" hidden="1">
      <c r="A556" s="87" t="s">
        <v>3</v>
      </c>
      <c r="B556" s="87"/>
      <c r="D556" s="87" t="s">
        <v>123</v>
      </c>
    </row>
    <row r="557" spans="1:4" ht="12" customHeight="1" hidden="1">
      <c r="A557" s="87" t="s">
        <v>4</v>
      </c>
      <c r="B557" s="87"/>
      <c r="D557" s="87" t="s">
        <v>124</v>
      </c>
    </row>
    <row r="558" spans="1:4" ht="12" customHeight="1" hidden="1">
      <c r="A558" s="87" t="s">
        <v>5</v>
      </c>
      <c r="B558" s="87"/>
      <c r="D558" s="87" t="s">
        <v>211</v>
      </c>
    </row>
    <row r="559" spans="1:5" ht="13.5" customHeight="1" hidden="1">
      <c r="A559" s="96"/>
      <c r="B559" s="96" t="s">
        <v>214</v>
      </c>
      <c r="C559" s="96"/>
      <c r="D559" s="96"/>
      <c r="E559" s="96"/>
    </row>
    <row r="560" spans="3:4" ht="10.5" customHeight="1" hidden="1">
      <c r="C560" s="175">
        <v>41934</v>
      </c>
      <c r="D560" s="97"/>
    </row>
    <row r="561" ht="10.5" customHeight="1" hidden="1">
      <c r="C561" s="102" t="s">
        <v>146</v>
      </c>
    </row>
    <row r="562" spans="1:2" ht="12.75" customHeight="1" hidden="1">
      <c r="A562" s="2" t="s">
        <v>6</v>
      </c>
      <c r="B562" s="2"/>
    </row>
    <row r="563" spans="1:2" ht="12.75" customHeight="1" hidden="1">
      <c r="A563" s="1" t="s">
        <v>150</v>
      </c>
      <c r="B563" s="1"/>
    </row>
    <row r="564" spans="1:2" ht="12.75" customHeight="1" hidden="1">
      <c r="A564" s="1" t="s">
        <v>7</v>
      </c>
      <c r="B564" s="1"/>
    </row>
    <row r="565" spans="1:2" ht="12.75" customHeight="1" hidden="1" thickBot="1">
      <c r="A565" s="176" t="s">
        <v>198</v>
      </c>
      <c r="B565" s="176"/>
    </row>
    <row r="566" spans="1:5" ht="15" hidden="1">
      <c r="A566" s="117" t="s">
        <v>8</v>
      </c>
      <c r="B566" s="118" t="s">
        <v>9</v>
      </c>
      <c r="C566" s="118" t="s">
        <v>10</v>
      </c>
      <c r="D566" s="118" t="s">
        <v>11</v>
      </c>
      <c r="E566" s="120" t="s">
        <v>12</v>
      </c>
    </row>
    <row r="567" spans="1:5" ht="15" hidden="1">
      <c r="A567" s="236" t="s">
        <v>166</v>
      </c>
      <c r="B567" s="595" t="s">
        <v>171</v>
      </c>
      <c r="C567" s="596"/>
      <c r="D567" s="597"/>
      <c r="E567" s="598"/>
    </row>
    <row r="568" spans="1:5" ht="12" customHeight="1" hidden="1">
      <c r="A568" s="593" t="s">
        <v>15</v>
      </c>
      <c r="B568" s="587" t="s">
        <v>109</v>
      </c>
      <c r="C568" s="247" t="s">
        <v>110</v>
      </c>
      <c r="D568" s="574" t="s">
        <v>111</v>
      </c>
      <c r="E568" s="249">
        <v>0.54</v>
      </c>
    </row>
    <row r="569" spans="1:5" ht="12" customHeight="1" hidden="1">
      <c r="A569" s="594"/>
      <c r="B569" s="588"/>
      <c r="C569" s="248" t="s">
        <v>203</v>
      </c>
      <c r="D569" s="575"/>
      <c r="E569" s="250">
        <f>E568/3.4528</f>
        <v>0.15639481000926786</v>
      </c>
    </row>
    <row r="570" spans="1:5" ht="12" customHeight="1" hidden="1">
      <c r="A570" s="593" t="s">
        <v>21</v>
      </c>
      <c r="B570" s="589" t="s">
        <v>112</v>
      </c>
      <c r="C570" s="247" t="s">
        <v>110</v>
      </c>
      <c r="D570" s="574" t="s">
        <v>185</v>
      </c>
      <c r="E570" s="251">
        <v>24.09</v>
      </c>
    </row>
    <row r="571" spans="1:5" ht="12" customHeight="1" hidden="1">
      <c r="A571" s="594"/>
      <c r="B571" s="590"/>
      <c r="C571" s="248" t="s">
        <v>203</v>
      </c>
      <c r="D571" s="575"/>
      <c r="E571" s="241">
        <f>E570/3.4528</f>
        <v>6.97694624652456</v>
      </c>
    </row>
    <row r="572" spans="1:5" ht="15" hidden="1">
      <c r="A572" s="237" t="s">
        <v>60</v>
      </c>
      <c r="B572" s="238" t="s">
        <v>113</v>
      </c>
      <c r="C572" s="11" t="s">
        <v>59</v>
      </c>
      <c r="D572" s="238"/>
      <c r="E572" s="129">
        <v>25.88</v>
      </c>
    </row>
    <row r="573" spans="1:5" ht="15" hidden="1">
      <c r="A573" s="157" t="s">
        <v>72</v>
      </c>
      <c r="B573" s="60" t="s">
        <v>114</v>
      </c>
      <c r="C573" s="99" t="s">
        <v>110</v>
      </c>
      <c r="D573" s="99" t="s">
        <v>143</v>
      </c>
      <c r="E573" s="128">
        <v>9.74</v>
      </c>
    </row>
    <row r="574" spans="1:5" ht="15" hidden="1">
      <c r="A574" s="243" t="s">
        <v>115</v>
      </c>
      <c r="B574" s="244" t="s">
        <v>116</v>
      </c>
      <c r="C574" s="99" t="s">
        <v>110</v>
      </c>
      <c r="D574" s="253" t="s">
        <v>143</v>
      </c>
      <c r="E574" s="158">
        <v>13.05</v>
      </c>
    </row>
    <row r="575" spans="1:5" ht="12" customHeight="1" hidden="1">
      <c r="A575" s="591" t="s">
        <v>84</v>
      </c>
      <c r="B575" s="572" t="s">
        <v>117</v>
      </c>
      <c r="C575" s="247" t="s">
        <v>110</v>
      </c>
      <c r="D575" s="574" t="s">
        <v>121</v>
      </c>
      <c r="E575" s="252">
        <f>E568+E570</f>
        <v>24.63</v>
      </c>
    </row>
    <row r="576" spans="1:5" ht="12" customHeight="1" hidden="1">
      <c r="A576" s="592"/>
      <c r="B576" s="573"/>
      <c r="C576" s="248" t="s">
        <v>203</v>
      </c>
      <c r="D576" s="575"/>
      <c r="E576" s="254">
        <f>E575/3.4528</f>
        <v>7.133341056533828</v>
      </c>
    </row>
    <row r="577" spans="1:5" ht="12" customHeight="1" hidden="1">
      <c r="A577" s="591" t="s">
        <v>85</v>
      </c>
      <c r="B577" s="577" t="s">
        <v>118</v>
      </c>
      <c r="C577" s="247" t="s">
        <v>110</v>
      </c>
      <c r="D577" s="239"/>
      <c r="E577" s="255">
        <f>E575*1.09</f>
        <v>26.846700000000002</v>
      </c>
    </row>
    <row r="578" spans="1:5" ht="12" customHeight="1" hidden="1">
      <c r="A578" s="592"/>
      <c r="B578" s="579"/>
      <c r="C578" s="248" t="s">
        <v>203</v>
      </c>
      <c r="D578" s="240"/>
      <c r="E578" s="250">
        <f>E577/3.4528</f>
        <v>7.775341751621873</v>
      </c>
    </row>
    <row r="579" spans="1:5" ht="15" hidden="1">
      <c r="A579" s="245" t="s">
        <v>87</v>
      </c>
      <c r="B579" s="246" t="s">
        <v>119</v>
      </c>
      <c r="C579" s="99" t="s">
        <v>110</v>
      </c>
      <c r="D579" s="240"/>
      <c r="E579" s="137">
        <v>24.46</v>
      </c>
    </row>
    <row r="580" spans="1:5" ht="15" hidden="1">
      <c r="A580" s="135" t="s">
        <v>89</v>
      </c>
      <c r="B580" s="153" t="s">
        <v>120</v>
      </c>
      <c r="C580" s="76" t="s">
        <v>95</v>
      </c>
      <c r="D580" s="65"/>
      <c r="E580" s="129">
        <f>(E575/E579)*100-100</f>
        <v>0.695012264922326</v>
      </c>
    </row>
    <row r="581" spans="1:5" ht="15" hidden="1">
      <c r="A581" s="159" t="s">
        <v>167</v>
      </c>
      <c r="B581" s="581" t="s">
        <v>164</v>
      </c>
      <c r="C581" s="582"/>
      <c r="D581" s="583"/>
      <c r="E581" s="584"/>
    </row>
    <row r="582" spans="1:5" ht="12" customHeight="1" hidden="1">
      <c r="A582" s="593" t="s">
        <v>15</v>
      </c>
      <c r="B582" s="587" t="s">
        <v>109</v>
      </c>
      <c r="C582" s="148" t="s">
        <v>110</v>
      </c>
      <c r="D582" s="574" t="s">
        <v>111</v>
      </c>
      <c r="E582" s="257">
        <v>0.54</v>
      </c>
    </row>
    <row r="583" spans="1:5" ht="12" customHeight="1" hidden="1">
      <c r="A583" s="594"/>
      <c r="B583" s="588"/>
      <c r="C583" s="248" t="s">
        <v>203</v>
      </c>
      <c r="D583" s="575"/>
      <c r="E583" s="250">
        <f>E582/3.4528</f>
        <v>0.15639481000926786</v>
      </c>
    </row>
    <row r="584" spans="1:5" ht="12" customHeight="1" hidden="1">
      <c r="A584" s="593" t="s">
        <v>21</v>
      </c>
      <c r="B584" s="589" t="s">
        <v>112</v>
      </c>
      <c r="C584" s="61" t="s">
        <v>110</v>
      </c>
      <c r="D584" s="574" t="s">
        <v>186</v>
      </c>
      <c r="E584" s="251">
        <v>23.36</v>
      </c>
    </row>
    <row r="585" spans="1:5" ht="12" customHeight="1" hidden="1">
      <c r="A585" s="594"/>
      <c r="B585" s="590"/>
      <c r="C585" s="248" t="s">
        <v>203</v>
      </c>
      <c r="D585" s="575"/>
      <c r="E585" s="250">
        <f>E584/3.4528</f>
        <v>6.765523632993513</v>
      </c>
    </row>
    <row r="586" spans="1:5" ht="12" customHeight="1" hidden="1">
      <c r="A586" s="591" t="s">
        <v>60</v>
      </c>
      <c r="B586" s="572" t="s">
        <v>117</v>
      </c>
      <c r="C586" s="256" t="s">
        <v>110</v>
      </c>
      <c r="D586" s="574" t="s">
        <v>121</v>
      </c>
      <c r="E586" s="252">
        <f>E582+E584</f>
        <v>23.9</v>
      </c>
    </row>
    <row r="587" spans="1:5" ht="12" customHeight="1" hidden="1">
      <c r="A587" s="592"/>
      <c r="B587" s="573"/>
      <c r="C587" s="248" t="s">
        <v>203</v>
      </c>
      <c r="D587" s="575"/>
      <c r="E587" s="250">
        <f>E586/3.4528</f>
        <v>6.92191844300278</v>
      </c>
    </row>
    <row r="588" spans="1:5" ht="12" customHeight="1" hidden="1">
      <c r="A588" s="591" t="s">
        <v>72</v>
      </c>
      <c r="B588" s="577" t="s">
        <v>118</v>
      </c>
      <c r="C588" s="61" t="s">
        <v>110</v>
      </c>
      <c r="D588" s="258"/>
      <c r="E588" s="113">
        <f>E586*1.21</f>
        <v>28.918999999999997</v>
      </c>
    </row>
    <row r="589" spans="1:5" ht="12" customHeight="1" hidden="1">
      <c r="A589" s="592"/>
      <c r="B589" s="579"/>
      <c r="C589" s="248" t="s">
        <v>203</v>
      </c>
      <c r="D589" s="240"/>
      <c r="E589" s="259">
        <f>E588/3.4528</f>
        <v>8.375521316033364</v>
      </c>
    </row>
    <row r="590" spans="2:4" ht="15" hidden="1">
      <c r="B590" t="s">
        <v>144</v>
      </c>
      <c r="C590" t="s">
        <v>148</v>
      </c>
      <c r="D590" s="101" t="s">
        <v>145</v>
      </c>
    </row>
    <row r="591" ht="15" hidden="1">
      <c r="D591" s="101"/>
    </row>
    <row r="592" ht="6" customHeight="1" hidden="1">
      <c r="D592" s="101"/>
    </row>
    <row r="593" spans="1:5" ht="11.25" customHeight="1" hidden="1">
      <c r="A593" s="87" t="s">
        <v>0</v>
      </c>
      <c r="B593" s="87"/>
      <c r="E593" s="87" t="s">
        <v>141</v>
      </c>
    </row>
    <row r="594" spans="1:4" ht="11.25" customHeight="1" hidden="1">
      <c r="A594" s="87" t="s">
        <v>1</v>
      </c>
      <c r="B594" s="87"/>
      <c r="D594" s="87" t="s">
        <v>133</v>
      </c>
    </row>
    <row r="595" spans="1:4" ht="11.25" customHeight="1" hidden="1">
      <c r="A595" s="87" t="s">
        <v>2</v>
      </c>
      <c r="B595" s="87"/>
      <c r="D595" s="87" t="s">
        <v>215</v>
      </c>
    </row>
    <row r="596" spans="1:4" ht="11.25" customHeight="1" hidden="1">
      <c r="A596" s="87" t="s">
        <v>3</v>
      </c>
      <c r="B596" s="87"/>
      <c r="D596" s="87" t="s">
        <v>123</v>
      </c>
    </row>
    <row r="597" spans="1:4" ht="11.25" customHeight="1" hidden="1">
      <c r="A597" s="87" t="s">
        <v>4</v>
      </c>
      <c r="B597" s="87"/>
      <c r="D597" s="87" t="s">
        <v>124</v>
      </c>
    </row>
    <row r="598" spans="1:4" ht="11.25" customHeight="1" hidden="1">
      <c r="A598" s="87" t="s">
        <v>5</v>
      </c>
      <c r="B598" s="87"/>
      <c r="D598" s="87" t="s">
        <v>125</v>
      </c>
    </row>
    <row r="599" spans="1:5" ht="15.75" hidden="1">
      <c r="A599" s="96"/>
      <c r="B599" s="96" t="s">
        <v>217</v>
      </c>
      <c r="C599" s="96"/>
      <c r="D599" s="96"/>
      <c r="E599" s="96"/>
    </row>
    <row r="600" spans="3:4" ht="12" customHeight="1" hidden="1">
      <c r="C600" s="175">
        <v>41992</v>
      </c>
      <c r="D600" s="97"/>
    </row>
    <row r="601" ht="12" customHeight="1" hidden="1">
      <c r="C601" s="102" t="s">
        <v>146</v>
      </c>
    </row>
    <row r="602" spans="1:2" ht="12" customHeight="1" hidden="1">
      <c r="A602" s="2" t="s">
        <v>6</v>
      </c>
      <c r="B602" s="2"/>
    </row>
    <row r="603" spans="1:2" ht="12" customHeight="1" hidden="1">
      <c r="A603" s="1" t="s">
        <v>150</v>
      </c>
      <c r="B603" s="1"/>
    </row>
    <row r="604" spans="1:2" ht="12" customHeight="1" hidden="1">
      <c r="A604" s="1" t="s">
        <v>7</v>
      </c>
      <c r="B604" s="1"/>
    </row>
    <row r="605" spans="1:2" ht="12" customHeight="1" hidden="1" thickBot="1">
      <c r="A605" s="176" t="s">
        <v>198</v>
      </c>
      <c r="B605" s="176"/>
    </row>
    <row r="606" spans="1:5" ht="15" hidden="1">
      <c r="A606" s="117" t="s">
        <v>8</v>
      </c>
      <c r="B606" s="118" t="s">
        <v>9</v>
      </c>
      <c r="C606" s="118" t="s">
        <v>10</v>
      </c>
      <c r="D606" s="118" t="s">
        <v>11</v>
      </c>
      <c r="E606" s="120" t="s">
        <v>12</v>
      </c>
    </row>
    <row r="607" spans="1:5" ht="15" hidden="1">
      <c r="A607" s="236" t="s">
        <v>166</v>
      </c>
      <c r="B607" s="595" t="s">
        <v>171</v>
      </c>
      <c r="C607" s="596"/>
      <c r="D607" s="597"/>
      <c r="E607" s="598"/>
    </row>
    <row r="608" spans="1:5" ht="12" customHeight="1" hidden="1">
      <c r="A608" s="593" t="s">
        <v>15</v>
      </c>
      <c r="B608" s="587" t="s">
        <v>109</v>
      </c>
      <c r="C608" s="248" t="s">
        <v>203</v>
      </c>
      <c r="D608" s="574" t="s">
        <v>111</v>
      </c>
      <c r="E608" s="249">
        <v>0.54</v>
      </c>
    </row>
    <row r="609" spans="1:7" ht="12" customHeight="1" hidden="1">
      <c r="A609" s="594"/>
      <c r="B609" s="588"/>
      <c r="C609" s="247" t="s">
        <v>110</v>
      </c>
      <c r="D609" s="575"/>
      <c r="E609" s="250">
        <f>E608/3.4528</f>
        <v>0.15639481000926786</v>
      </c>
      <c r="G609" s="247" t="s">
        <v>110</v>
      </c>
    </row>
    <row r="610" spans="1:5" ht="12" customHeight="1" hidden="1">
      <c r="A610" s="593" t="s">
        <v>21</v>
      </c>
      <c r="B610" s="589" t="s">
        <v>112</v>
      </c>
      <c r="C610" s="248" t="s">
        <v>203</v>
      </c>
      <c r="D610" s="574" t="s">
        <v>185</v>
      </c>
      <c r="E610" s="251">
        <v>23.87</v>
      </c>
    </row>
    <row r="611" spans="1:5" ht="12" customHeight="1" hidden="1">
      <c r="A611" s="594"/>
      <c r="B611" s="590"/>
      <c r="C611" s="247" t="s">
        <v>110</v>
      </c>
      <c r="D611" s="575"/>
      <c r="E611" s="241">
        <f>E610/3.4528</f>
        <v>6.913229842446711</v>
      </c>
    </row>
    <row r="612" spans="1:5" ht="12" customHeight="1" hidden="1">
      <c r="A612" s="237" t="s">
        <v>60</v>
      </c>
      <c r="B612" s="238" t="s">
        <v>113</v>
      </c>
      <c r="C612" s="11" t="s">
        <v>59</v>
      </c>
      <c r="D612" s="238"/>
      <c r="E612" s="263">
        <v>25.47</v>
      </c>
    </row>
    <row r="613" spans="1:5" ht="12" customHeight="1" hidden="1">
      <c r="A613" s="157" t="s">
        <v>72</v>
      </c>
      <c r="B613" s="60" t="s">
        <v>114</v>
      </c>
      <c r="C613" s="99" t="s">
        <v>110</v>
      </c>
      <c r="D613" s="99" t="s">
        <v>143</v>
      </c>
      <c r="E613" s="128">
        <v>9.74</v>
      </c>
    </row>
    <row r="614" spans="1:5" ht="12" customHeight="1" hidden="1">
      <c r="A614" s="243" t="s">
        <v>115</v>
      </c>
      <c r="B614" s="244" t="s">
        <v>116</v>
      </c>
      <c r="C614" s="99" t="s">
        <v>110</v>
      </c>
      <c r="D614" s="253" t="s">
        <v>143</v>
      </c>
      <c r="E614" s="158">
        <v>13.05</v>
      </c>
    </row>
    <row r="615" spans="1:5" ht="11.25" customHeight="1" hidden="1">
      <c r="A615" s="591" t="s">
        <v>84</v>
      </c>
      <c r="B615" s="572" t="s">
        <v>117</v>
      </c>
      <c r="C615" s="248" t="s">
        <v>203</v>
      </c>
      <c r="D615" s="574" t="s">
        <v>121</v>
      </c>
      <c r="E615" s="252">
        <f>E608+E610</f>
        <v>24.41</v>
      </c>
    </row>
    <row r="616" spans="1:5" ht="11.25" customHeight="1" hidden="1">
      <c r="A616" s="592"/>
      <c r="B616" s="573"/>
      <c r="C616" s="247" t="s">
        <v>110</v>
      </c>
      <c r="D616" s="575"/>
      <c r="E616" s="254">
        <f>E615/3.4528</f>
        <v>7.069624652455978</v>
      </c>
    </row>
    <row r="617" spans="1:5" ht="11.25" customHeight="1" hidden="1">
      <c r="A617" s="591" t="s">
        <v>85</v>
      </c>
      <c r="B617" s="577" t="s">
        <v>118</v>
      </c>
      <c r="C617" s="248" t="s">
        <v>203</v>
      </c>
      <c r="D617" s="239"/>
      <c r="E617" s="255">
        <f>E615*1.09</f>
        <v>26.606900000000003</v>
      </c>
    </row>
    <row r="618" spans="1:5" ht="11.25" customHeight="1" hidden="1">
      <c r="A618" s="592"/>
      <c r="B618" s="579"/>
      <c r="C618" s="247" t="s">
        <v>110</v>
      </c>
      <c r="D618" s="240"/>
      <c r="E618" s="250">
        <f>E617/3.4528</f>
        <v>7.705890871177017</v>
      </c>
    </row>
    <row r="619" spans="1:5" ht="12" customHeight="1" hidden="1">
      <c r="A619" s="245" t="s">
        <v>87</v>
      </c>
      <c r="B619" s="246" t="s">
        <v>119</v>
      </c>
      <c r="C619" s="99" t="s">
        <v>110</v>
      </c>
      <c r="D619" s="240"/>
      <c r="E619" s="137">
        <v>24.63</v>
      </c>
    </row>
    <row r="620" spans="1:5" ht="12" customHeight="1" hidden="1">
      <c r="A620" s="135" t="s">
        <v>89</v>
      </c>
      <c r="B620" s="153" t="s">
        <v>120</v>
      </c>
      <c r="C620" s="76" t="s">
        <v>95</v>
      </c>
      <c r="D620" s="65"/>
      <c r="E620" s="129">
        <f>(E615/E619)*100-100</f>
        <v>-0.8932196508323074</v>
      </c>
    </row>
    <row r="621" spans="1:5" ht="15.75" customHeight="1" hidden="1">
      <c r="A621" s="159" t="s">
        <v>167</v>
      </c>
      <c r="B621" s="581" t="s">
        <v>164</v>
      </c>
      <c r="C621" s="582"/>
      <c r="D621" s="583"/>
      <c r="E621" s="584"/>
    </row>
    <row r="622" spans="1:5" ht="12" customHeight="1" hidden="1">
      <c r="A622" s="593" t="s">
        <v>15</v>
      </c>
      <c r="B622" s="587" t="s">
        <v>109</v>
      </c>
      <c r="C622" s="148" t="s">
        <v>110</v>
      </c>
      <c r="D622" s="574" t="s">
        <v>111</v>
      </c>
      <c r="E622" s="257">
        <v>0.54</v>
      </c>
    </row>
    <row r="623" spans="1:5" ht="12" customHeight="1" hidden="1">
      <c r="A623" s="594"/>
      <c r="B623" s="588"/>
      <c r="C623" s="248" t="s">
        <v>203</v>
      </c>
      <c r="D623" s="575"/>
      <c r="E623" s="250">
        <f>E622/3.4528</f>
        <v>0.15639481000926786</v>
      </c>
    </row>
    <row r="624" spans="1:5" ht="12" customHeight="1" hidden="1">
      <c r="A624" s="593" t="s">
        <v>21</v>
      </c>
      <c r="B624" s="589" t="s">
        <v>112</v>
      </c>
      <c r="C624" s="61" t="s">
        <v>110</v>
      </c>
      <c r="D624" s="574" t="s">
        <v>186</v>
      </c>
      <c r="E624" s="251">
        <v>23.15</v>
      </c>
    </row>
    <row r="625" spans="1:5" ht="12" customHeight="1" hidden="1">
      <c r="A625" s="594"/>
      <c r="B625" s="590"/>
      <c r="C625" s="248" t="s">
        <v>203</v>
      </c>
      <c r="D625" s="575"/>
      <c r="E625" s="250">
        <f>E624/3.4528</f>
        <v>6.704703429101019</v>
      </c>
    </row>
    <row r="626" spans="1:5" ht="12" customHeight="1" hidden="1">
      <c r="A626" s="591" t="s">
        <v>60</v>
      </c>
      <c r="B626" s="572" t="s">
        <v>117</v>
      </c>
      <c r="C626" s="256" t="s">
        <v>110</v>
      </c>
      <c r="D626" s="574" t="s">
        <v>121</v>
      </c>
      <c r="E626" s="252">
        <f>E622+E624</f>
        <v>23.689999999999998</v>
      </c>
    </row>
    <row r="627" spans="1:5" ht="12" customHeight="1" hidden="1">
      <c r="A627" s="592"/>
      <c r="B627" s="573"/>
      <c r="C627" s="248" t="s">
        <v>203</v>
      </c>
      <c r="D627" s="575"/>
      <c r="E627" s="250">
        <f>E626/3.4528</f>
        <v>6.861098239110287</v>
      </c>
    </row>
    <row r="628" spans="1:5" ht="12" customHeight="1" hidden="1">
      <c r="A628" s="591" t="s">
        <v>72</v>
      </c>
      <c r="B628" s="577" t="s">
        <v>118</v>
      </c>
      <c r="C628" s="61" t="s">
        <v>110</v>
      </c>
      <c r="D628" s="258"/>
      <c r="E628" s="113">
        <f>E626*1.21</f>
        <v>28.664899999999996</v>
      </c>
    </row>
    <row r="629" spans="1:5" ht="12" customHeight="1" hidden="1">
      <c r="A629" s="592"/>
      <c r="B629" s="579"/>
      <c r="C629" s="248" t="s">
        <v>203</v>
      </c>
      <c r="D629" s="240"/>
      <c r="E629" s="259">
        <f>E628/3.4528</f>
        <v>8.301928869323447</v>
      </c>
    </row>
    <row r="630" spans="1:5" ht="12" customHeight="1" hidden="1">
      <c r="A630" s="264"/>
      <c r="B630" s="265"/>
      <c r="C630" s="266"/>
      <c r="D630" s="267"/>
      <c r="E630" s="268"/>
    </row>
    <row r="631" spans="2:4" ht="15" hidden="1">
      <c r="B631" t="s">
        <v>144</v>
      </c>
      <c r="C631" t="s">
        <v>148</v>
      </c>
      <c r="D631" s="101" t="s">
        <v>145</v>
      </c>
    </row>
    <row r="632" ht="15" hidden="1">
      <c r="D632" s="101"/>
    </row>
    <row r="633" ht="15" hidden="1">
      <c r="D633" s="101"/>
    </row>
    <row r="634" spans="1:5" ht="11.25" customHeight="1" hidden="1">
      <c r="A634" s="87" t="s">
        <v>0</v>
      </c>
      <c r="B634" s="87"/>
      <c r="E634" s="87" t="s">
        <v>141</v>
      </c>
    </row>
    <row r="635" spans="1:4" ht="11.25" customHeight="1" hidden="1">
      <c r="A635" s="87" t="s">
        <v>1</v>
      </c>
      <c r="B635" s="87"/>
      <c r="D635" s="87" t="s">
        <v>133</v>
      </c>
    </row>
    <row r="636" spans="1:4" ht="11.25" customHeight="1" hidden="1">
      <c r="A636" s="87" t="s">
        <v>2</v>
      </c>
      <c r="B636" s="87"/>
      <c r="D636" s="87" t="s">
        <v>215</v>
      </c>
    </row>
    <row r="637" spans="1:4" ht="11.25" customHeight="1" hidden="1">
      <c r="A637" s="87" t="s">
        <v>3</v>
      </c>
      <c r="B637" s="87"/>
      <c r="D637" s="87" t="s">
        <v>123</v>
      </c>
    </row>
    <row r="638" spans="1:4" ht="11.25" customHeight="1" hidden="1">
      <c r="A638" s="87" t="s">
        <v>4</v>
      </c>
      <c r="B638" s="87"/>
      <c r="D638" s="87" t="s">
        <v>124</v>
      </c>
    </row>
    <row r="639" spans="1:4" ht="11.25" customHeight="1" hidden="1">
      <c r="A639" s="87" t="s">
        <v>231</v>
      </c>
      <c r="B639" s="87"/>
      <c r="D639" s="87" t="s">
        <v>227</v>
      </c>
    </row>
    <row r="640" spans="1:5" ht="15.75" hidden="1">
      <c r="A640" s="96"/>
      <c r="B640" s="96" t="s">
        <v>224</v>
      </c>
      <c r="C640" s="96"/>
      <c r="D640" s="96"/>
      <c r="E640" s="96"/>
    </row>
    <row r="641" spans="3:4" ht="11.25" customHeight="1" hidden="1">
      <c r="C641" s="175">
        <v>42026</v>
      </c>
      <c r="D641" s="97"/>
    </row>
    <row r="642" ht="11.25" customHeight="1" hidden="1">
      <c r="C642" s="102" t="s">
        <v>146</v>
      </c>
    </row>
    <row r="643" spans="1:2" ht="12.75" customHeight="1" hidden="1">
      <c r="A643" s="2" t="s">
        <v>6</v>
      </c>
      <c r="B643" s="2"/>
    </row>
    <row r="644" spans="1:2" ht="12.75" customHeight="1" hidden="1">
      <c r="A644" s="1" t="s">
        <v>150</v>
      </c>
      <c r="B644" s="1"/>
    </row>
    <row r="645" spans="1:2" ht="12.75" customHeight="1" hidden="1">
      <c r="A645" s="1" t="s">
        <v>7</v>
      </c>
      <c r="B645" s="1"/>
    </row>
    <row r="646" spans="1:2" ht="12.75" customHeight="1" hidden="1" thickBot="1">
      <c r="A646" s="176" t="s">
        <v>232</v>
      </c>
      <c r="B646" s="176"/>
    </row>
    <row r="647" spans="1:5" ht="15.75" hidden="1" thickBot="1">
      <c r="A647" s="307" t="s">
        <v>8</v>
      </c>
      <c r="B647" s="308" t="s">
        <v>9</v>
      </c>
      <c r="C647" s="308" t="s">
        <v>10</v>
      </c>
      <c r="D647" s="308" t="s">
        <v>11</v>
      </c>
      <c r="E647" s="309" t="s">
        <v>12</v>
      </c>
    </row>
    <row r="648" spans="1:5" ht="15" hidden="1">
      <c r="A648" s="159" t="s">
        <v>166</v>
      </c>
      <c r="B648" s="581" t="s">
        <v>171</v>
      </c>
      <c r="C648" s="582"/>
      <c r="D648" s="583"/>
      <c r="E648" s="584"/>
    </row>
    <row r="649" spans="1:5" ht="12" customHeight="1" hidden="1">
      <c r="A649" s="585" t="s">
        <v>15</v>
      </c>
      <c r="B649" s="587" t="s">
        <v>109</v>
      </c>
      <c r="C649" s="298" t="s">
        <v>233</v>
      </c>
      <c r="D649" s="574" t="s">
        <v>111</v>
      </c>
      <c r="E649" s="300">
        <v>0.16</v>
      </c>
    </row>
    <row r="650" spans="1:5" ht="12" customHeight="1" hidden="1">
      <c r="A650" s="586"/>
      <c r="B650" s="588"/>
      <c r="C650" s="248" t="s">
        <v>234</v>
      </c>
      <c r="D650" s="575"/>
      <c r="E650" s="250">
        <v>0.55</v>
      </c>
    </row>
    <row r="651" spans="1:5" ht="12" customHeight="1" hidden="1">
      <c r="A651" s="585" t="s">
        <v>21</v>
      </c>
      <c r="B651" s="589" t="s">
        <v>112</v>
      </c>
      <c r="C651" s="298" t="s">
        <v>233</v>
      </c>
      <c r="D651" s="574" t="s">
        <v>185</v>
      </c>
      <c r="E651" s="301">
        <v>6.93</v>
      </c>
    </row>
    <row r="652" spans="1:5" ht="12" customHeight="1" hidden="1">
      <c r="A652" s="586"/>
      <c r="B652" s="590"/>
      <c r="C652" s="248" t="s">
        <v>234</v>
      </c>
      <c r="D652" s="575"/>
      <c r="E652" s="303">
        <f>E651*3.4528</f>
        <v>23.927903999999998</v>
      </c>
    </row>
    <row r="653" spans="1:5" ht="11.25" customHeight="1" hidden="1">
      <c r="A653" s="237" t="s">
        <v>60</v>
      </c>
      <c r="B653" s="238" t="s">
        <v>113</v>
      </c>
      <c r="C653" s="310" t="s">
        <v>202</v>
      </c>
      <c r="D653" s="238"/>
      <c r="E653" s="263">
        <v>7.43</v>
      </c>
    </row>
    <row r="654" spans="1:5" ht="11.25" customHeight="1" hidden="1">
      <c r="A654" s="157" t="s">
        <v>72</v>
      </c>
      <c r="B654" s="60" t="s">
        <v>114</v>
      </c>
      <c r="C654" s="99" t="s">
        <v>225</v>
      </c>
      <c r="D654" s="99" t="s">
        <v>143</v>
      </c>
      <c r="E654" s="128">
        <v>2.82</v>
      </c>
    </row>
    <row r="655" spans="1:5" ht="11.25" customHeight="1" hidden="1">
      <c r="A655" s="243" t="s">
        <v>115</v>
      </c>
      <c r="B655" s="244" t="s">
        <v>116</v>
      </c>
      <c r="C655" s="99" t="s">
        <v>225</v>
      </c>
      <c r="D655" s="253" t="s">
        <v>143</v>
      </c>
      <c r="E655" s="158">
        <v>3.78</v>
      </c>
    </row>
    <row r="656" spans="1:5" ht="12.75" customHeight="1" hidden="1">
      <c r="A656" s="570" t="s">
        <v>84</v>
      </c>
      <c r="B656" s="572" t="s">
        <v>117</v>
      </c>
      <c r="C656" s="99" t="s">
        <v>225</v>
      </c>
      <c r="D656" s="574" t="s">
        <v>121</v>
      </c>
      <c r="E656" s="252">
        <f>E649+E651</f>
        <v>7.09</v>
      </c>
    </row>
    <row r="657" spans="1:5" ht="12.75" customHeight="1" hidden="1">
      <c r="A657" s="571"/>
      <c r="B657" s="573"/>
      <c r="C657" s="248" t="s">
        <v>234</v>
      </c>
      <c r="D657" s="575"/>
      <c r="E657" s="254">
        <f>E656*3.4528</f>
        <v>24.480352</v>
      </c>
    </row>
    <row r="658" spans="1:5" ht="12.75" customHeight="1" hidden="1">
      <c r="A658" s="570" t="s">
        <v>85</v>
      </c>
      <c r="B658" s="577" t="s">
        <v>118</v>
      </c>
      <c r="C658" s="99" t="s">
        <v>225</v>
      </c>
      <c r="D658" s="65"/>
      <c r="E658" s="252">
        <f>E656*1.09</f>
        <v>7.7281</v>
      </c>
    </row>
    <row r="659" spans="1:5" ht="12.75" customHeight="1" hidden="1">
      <c r="A659" s="571"/>
      <c r="B659" s="579"/>
      <c r="C659" s="248" t="s">
        <v>234</v>
      </c>
      <c r="D659" s="240"/>
      <c r="E659" s="254">
        <f>E658*3.4528</f>
        <v>26.68358368</v>
      </c>
    </row>
    <row r="660" spans="1:5" ht="12.75" customHeight="1" hidden="1">
      <c r="A660" s="570" t="s">
        <v>87</v>
      </c>
      <c r="B660" s="577" t="s">
        <v>119</v>
      </c>
      <c r="C660" s="99" t="s">
        <v>225</v>
      </c>
      <c r="D660" s="240"/>
      <c r="E660" s="299">
        <v>7.07</v>
      </c>
    </row>
    <row r="661" spans="1:5" ht="12.75" customHeight="1" hidden="1">
      <c r="A661" s="571"/>
      <c r="B661" s="579"/>
      <c r="C661" s="248" t="s">
        <v>234</v>
      </c>
      <c r="D661" s="240"/>
      <c r="E661" s="250">
        <f>E660*3.4528</f>
        <v>24.411296</v>
      </c>
    </row>
    <row r="662" spans="1:5" ht="15" hidden="1">
      <c r="A662" s="135" t="s">
        <v>89</v>
      </c>
      <c r="B662" s="153" t="s">
        <v>120</v>
      </c>
      <c r="C662" s="76" t="s">
        <v>95</v>
      </c>
      <c r="D662" s="65"/>
      <c r="E662" s="129">
        <f>(E656/E660)*100-100</f>
        <v>0.282885431400274</v>
      </c>
    </row>
    <row r="663" spans="1:5" ht="15.75" customHeight="1" hidden="1">
      <c r="A663" s="159" t="s">
        <v>167</v>
      </c>
      <c r="B663" s="581" t="s">
        <v>164</v>
      </c>
      <c r="C663" s="582"/>
      <c r="D663" s="583"/>
      <c r="E663" s="584"/>
    </row>
    <row r="664" spans="1:5" ht="12.75" customHeight="1" hidden="1">
      <c r="A664" s="585" t="s">
        <v>15</v>
      </c>
      <c r="B664" s="587" t="s">
        <v>109</v>
      </c>
      <c r="C664" s="298" t="s">
        <v>233</v>
      </c>
      <c r="D664" s="574" t="s">
        <v>111</v>
      </c>
      <c r="E664" s="302">
        <v>0.16</v>
      </c>
    </row>
    <row r="665" spans="1:5" ht="12.75" customHeight="1" hidden="1">
      <c r="A665" s="586"/>
      <c r="B665" s="588"/>
      <c r="C665" s="248" t="s">
        <v>234</v>
      </c>
      <c r="D665" s="575"/>
      <c r="E665" s="250">
        <v>0.55</v>
      </c>
    </row>
    <row r="666" spans="1:5" ht="12.75" customHeight="1" hidden="1">
      <c r="A666" s="585" t="s">
        <v>21</v>
      </c>
      <c r="B666" s="589" t="s">
        <v>112</v>
      </c>
      <c r="C666" s="298" t="s">
        <v>233</v>
      </c>
      <c r="D666" s="574" t="s">
        <v>235</v>
      </c>
      <c r="E666" s="301">
        <v>6.73</v>
      </c>
    </row>
    <row r="667" spans="1:5" ht="12.75" customHeight="1" hidden="1">
      <c r="A667" s="586"/>
      <c r="B667" s="590"/>
      <c r="C667" s="248" t="s">
        <v>234</v>
      </c>
      <c r="D667" s="575"/>
      <c r="E667" s="250">
        <f>E666*3.4528</f>
        <v>23.237344</v>
      </c>
    </row>
    <row r="668" spans="1:5" ht="12.75" customHeight="1" hidden="1">
      <c r="A668" s="570" t="s">
        <v>60</v>
      </c>
      <c r="B668" s="572" t="s">
        <v>117</v>
      </c>
      <c r="C668" s="298" t="s">
        <v>233</v>
      </c>
      <c r="D668" s="574" t="s">
        <v>121</v>
      </c>
      <c r="E668" s="252">
        <f>E664+E666</f>
        <v>6.890000000000001</v>
      </c>
    </row>
    <row r="669" spans="1:5" ht="12.75" customHeight="1" hidden="1">
      <c r="A669" s="571"/>
      <c r="B669" s="573"/>
      <c r="C669" s="248" t="s">
        <v>234</v>
      </c>
      <c r="D669" s="575"/>
      <c r="E669" s="254">
        <f>E668*3.4528</f>
        <v>23.789792000000002</v>
      </c>
    </row>
    <row r="670" spans="1:5" ht="12.75" customHeight="1" hidden="1">
      <c r="A670" s="570" t="s">
        <v>72</v>
      </c>
      <c r="B670" s="577" t="s">
        <v>118</v>
      </c>
      <c r="C670" s="298" t="s">
        <v>233</v>
      </c>
      <c r="D670" s="258"/>
      <c r="E670" s="136">
        <f>E668*1.21</f>
        <v>8.3369</v>
      </c>
    </row>
    <row r="671" spans="1:5" ht="12.75" customHeight="1" hidden="1" thickBot="1">
      <c r="A671" s="576"/>
      <c r="B671" s="578"/>
      <c r="C671" s="304" t="s">
        <v>234</v>
      </c>
      <c r="D671" s="305"/>
      <c r="E671" s="306">
        <f>E670*3.4528</f>
        <v>28.78564832</v>
      </c>
    </row>
    <row r="672" spans="1:5" ht="15" hidden="1">
      <c r="A672" s="264"/>
      <c r="B672" s="265"/>
      <c r="C672" s="266"/>
      <c r="D672" s="267"/>
      <c r="E672" s="268"/>
    </row>
    <row r="673" spans="2:4" ht="15" hidden="1">
      <c r="B673" t="s">
        <v>144</v>
      </c>
      <c r="C673" t="s">
        <v>148</v>
      </c>
      <c r="D673" s="101" t="s">
        <v>145</v>
      </c>
    </row>
    <row r="674" ht="15" hidden="1"/>
    <row r="675" spans="1:5" ht="11.25" customHeight="1" hidden="1">
      <c r="A675" s="87" t="s">
        <v>0</v>
      </c>
      <c r="B675" s="87"/>
      <c r="E675" s="87" t="s">
        <v>141</v>
      </c>
    </row>
    <row r="676" spans="1:4" ht="11.25" customHeight="1" hidden="1">
      <c r="A676" s="87" t="s">
        <v>1</v>
      </c>
      <c r="B676" s="87"/>
      <c r="D676" s="87" t="s">
        <v>133</v>
      </c>
    </row>
    <row r="677" spans="1:4" ht="11.25" customHeight="1" hidden="1">
      <c r="A677" s="87" t="s">
        <v>2</v>
      </c>
      <c r="B677" s="87"/>
      <c r="D677" s="87" t="s">
        <v>215</v>
      </c>
    </row>
    <row r="678" spans="1:4" ht="11.25" customHeight="1" hidden="1">
      <c r="A678" s="87" t="s">
        <v>3</v>
      </c>
      <c r="B678" s="87"/>
      <c r="D678" s="87" t="s">
        <v>123</v>
      </c>
    </row>
    <row r="679" spans="1:4" ht="11.25" customHeight="1" hidden="1">
      <c r="A679" s="87" t="s">
        <v>4</v>
      </c>
      <c r="B679" s="87"/>
      <c r="D679" s="87" t="s">
        <v>124</v>
      </c>
    </row>
    <row r="680" spans="1:4" ht="11.25" customHeight="1" hidden="1">
      <c r="A680" s="87" t="s">
        <v>231</v>
      </c>
      <c r="B680" s="87"/>
      <c r="D680" s="87" t="s">
        <v>227</v>
      </c>
    </row>
    <row r="681" spans="1:5" ht="15.75" hidden="1">
      <c r="A681" s="96"/>
      <c r="B681" s="96" t="s">
        <v>240</v>
      </c>
      <c r="C681" s="96"/>
      <c r="D681" s="96"/>
      <c r="E681" s="96"/>
    </row>
    <row r="682" spans="3:4" ht="11.25" customHeight="1" hidden="1">
      <c r="C682" s="175">
        <v>42060</v>
      </c>
      <c r="D682" s="97"/>
    </row>
    <row r="683" ht="11.25" customHeight="1" hidden="1">
      <c r="C683" s="102" t="s">
        <v>146</v>
      </c>
    </row>
    <row r="684" spans="1:2" ht="12.75" customHeight="1" hidden="1">
      <c r="A684" s="2" t="s">
        <v>6</v>
      </c>
      <c r="B684" s="2"/>
    </row>
    <row r="685" spans="1:2" ht="12.75" customHeight="1" hidden="1">
      <c r="A685" s="1" t="s">
        <v>150</v>
      </c>
      <c r="B685" s="1"/>
    </row>
    <row r="686" spans="1:2" ht="12.75" customHeight="1" hidden="1">
      <c r="A686" s="1" t="s">
        <v>7</v>
      </c>
      <c r="B686" s="1"/>
    </row>
    <row r="687" spans="1:2" ht="12.75" customHeight="1" hidden="1" thickBot="1">
      <c r="A687" s="176" t="s">
        <v>241</v>
      </c>
      <c r="B687" s="176"/>
    </row>
    <row r="688" spans="1:5" ht="15.75" hidden="1" thickBot="1">
      <c r="A688" s="307" t="s">
        <v>8</v>
      </c>
      <c r="B688" s="308" t="s">
        <v>9</v>
      </c>
      <c r="C688" s="308" t="s">
        <v>10</v>
      </c>
      <c r="D688" s="308" t="s">
        <v>11</v>
      </c>
      <c r="E688" s="309" t="s">
        <v>12</v>
      </c>
    </row>
    <row r="689" spans="1:5" ht="15" hidden="1">
      <c r="A689" s="159" t="s">
        <v>166</v>
      </c>
      <c r="B689" s="581" t="s">
        <v>171</v>
      </c>
      <c r="C689" s="582"/>
      <c r="D689" s="583"/>
      <c r="E689" s="584"/>
    </row>
    <row r="690" spans="1:5" ht="12" customHeight="1" hidden="1">
      <c r="A690" s="585" t="s">
        <v>15</v>
      </c>
      <c r="B690" s="587" t="s">
        <v>109</v>
      </c>
      <c r="C690" s="298" t="s">
        <v>233</v>
      </c>
      <c r="D690" s="574" t="s">
        <v>111</v>
      </c>
      <c r="E690" s="300">
        <v>0.16</v>
      </c>
    </row>
    <row r="691" spans="1:5" ht="12" customHeight="1" hidden="1">
      <c r="A691" s="586"/>
      <c r="B691" s="588"/>
      <c r="C691" s="248" t="s">
        <v>234</v>
      </c>
      <c r="D691" s="575"/>
      <c r="E691" s="250">
        <v>0.54</v>
      </c>
    </row>
    <row r="692" spans="1:5" ht="12" customHeight="1" hidden="1">
      <c r="A692" s="585" t="s">
        <v>21</v>
      </c>
      <c r="B692" s="589" t="s">
        <v>112</v>
      </c>
      <c r="C692" s="298" t="s">
        <v>233</v>
      </c>
      <c r="D692" s="574" t="s">
        <v>185</v>
      </c>
      <c r="E692" s="301">
        <v>7.12</v>
      </c>
    </row>
    <row r="693" spans="1:5" ht="12" customHeight="1" hidden="1">
      <c r="A693" s="586"/>
      <c r="B693" s="590"/>
      <c r="C693" s="248" t="s">
        <v>234</v>
      </c>
      <c r="D693" s="575"/>
      <c r="E693" s="250">
        <v>24.6</v>
      </c>
    </row>
    <row r="694" spans="1:5" ht="11.25" customHeight="1" hidden="1">
      <c r="A694" s="237" t="s">
        <v>60</v>
      </c>
      <c r="B694" s="238" t="s">
        <v>113</v>
      </c>
      <c r="C694" s="310" t="s">
        <v>202</v>
      </c>
      <c r="D694" s="238"/>
      <c r="E694" s="313">
        <v>7.79</v>
      </c>
    </row>
    <row r="695" spans="1:5" ht="11.25" customHeight="1" hidden="1">
      <c r="A695" s="157" t="s">
        <v>72</v>
      </c>
      <c r="B695" s="60" t="s">
        <v>114</v>
      </c>
      <c r="C695" s="99" t="s">
        <v>225</v>
      </c>
      <c r="D695" s="99" t="s">
        <v>143</v>
      </c>
      <c r="E695" s="311">
        <v>2.82</v>
      </c>
    </row>
    <row r="696" spans="1:5" ht="11.25" customHeight="1" hidden="1">
      <c r="A696" s="243" t="s">
        <v>115</v>
      </c>
      <c r="B696" s="244" t="s">
        <v>116</v>
      </c>
      <c r="C696" s="99" t="s">
        <v>225</v>
      </c>
      <c r="D696" s="253" t="s">
        <v>143</v>
      </c>
      <c r="E696" s="312">
        <v>3.78</v>
      </c>
    </row>
    <row r="697" spans="1:5" ht="12.75" customHeight="1" hidden="1">
      <c r="A697" s="570" t="s">
        <v>84</v>
      </c>
      <c r="B697" s="572" t="s">
        <v>117</v>
      </c>
      <c r="C697" s="99" t="s">
        <v>225</v>
      </c>
      <c r="D697" s="574" t="s">
        <v>121</v>
      </c>
      <c r="E697" s="252">
        <f>E690+E692</f>
        <v>7.28</v>
      </c>
    </row>
    <row r="698" spans="1:5" ht="12.75" customHeight="1" hidden="1">
      <c r="A698" s="571"/>
      <c r="B698" s="573"/>
      <c r="C698" s="248" t="s">
        <v>234</v>
      </c>
      <c r="D698" s="575"/>
      <c r="E698" s="250">
        <f>E697*3.4528</f>
        <v>25.136384</v>
      </c>
    </row>
    <row r="699" spans="1:5" ht="12.75" customHeight="1" hidden="1">
      <c r="A699" s="570" t="s">
        <v>85</v>
      </c>
      <c r="B699" s="577" t="s">
        <v>118</v>
      </c>
      <c r="C699" s="99" t="s">
        <v>225</v>
      </c>
      <c r="D699" s="65"/>
      <c r="E699" s="252">
        <f>E697*1.09</f>
        <v>7.935200000000001</v>
      </c>
    </row>
    <row r="700" spans="1:5" ht="12.75" customHeight="1" hidden="1">
      <c r="A700" s="571"/>
      <c r="B700" s="579"/>
      <c r="C700" s="248" t="s">
        <v>234</v>
      </c>
      <c r="D700" s="240"/>
      <c r="E700" s="250">
        <f>E699*3.4528</f>
        <v>27.39865856</v>
      </c>
    </row>
    <row r="701" spans="1:5" ht="12.75" customHeight="1" hidden="1">
      <c r="A701" s="570" t="s">
        <v>87</v>
      </c>
      <c r="B701" s="577" t="s">
        <v>119</v>
      </c>
      <c r="C701" s="99" t="s">
        <v>225</v>
      </c>
      <c r="D701" s="240"/>
      <c r="E701" s="299">
        <v>7.09</v>
      </c>
    </row>
    <row r="702" spans="1:5" ht="12.75" customHeight="1" hidden="1">
      <c r="A702" s="571"/>
      <c r="B702" s="579"/>
      <c r="C702" s="248" t="s">
        <v>234</v>
      </c>
      <c r="D702" s="240"/>
      <c r="E702" s="250">
        <f>E701*3.4528</f>
        <v>24.480352</v>
      </c>
    </row>
    <row r="703" spans="1:5" ht="15" hidden="1">
      <c r="A703" s="135" t="s">
        <v>89</v>
      </c>
      <c r="B703" s="153" t="s">
        <v>120</v>
      </c>
      <c r="C703" s="76" t="s">
        <v>95</v>
      </c>
      <c r="D703" s="65"/>
      <c r="E703" s="129">
        <f>(E697/E701)*100-100</f>
        <v>2.6798307475317245</v>
      </c>
    </row>
    <row r="704" spans="1:5" ht="15.75" customHeight="1" hidden="1">
      <c r="A704" s="159" t="s">
        <v>167</v>
      </c>
      <c r="B704" s="581" t="s">
        <v>164</v>
      </c>
      <c r="C704" s="582"/>
      <c r="D704" s="583"/>
      <c r="E704" s="584"/>
    </row>
    <row r="705" spans="1:5" ht="12.75" customHeight="1" hidden="1">
      <c r="A705" s="585" t="s">
        <v>15</v>
      </c>
      <c r="B705" s="587" t="s">
        <v>109</v>
      </c>
      <c r="C705" s="298" t="s">
        <v>233</v>
      </c>
      <c r="D705" s="574" t="s">
        <v>111</v>
      </c>
      <c r="E705" s="302">
        <v>0.16</v>
      </c>
    </row>
    <row r="706" spans="1:5" ht="12.75" customHeight="1" hidden="1">
      <c r="A706" s="586"/>
      <c r="B706" s="588"/>
      <c r="C706" s="248" t="s">
        <v>234</v>
      </c>
      <c r="D706" s="575"/>
      <c r="E706" s="250">
        <v>0.54</v>
      </c>
    </row>
    <row r="707" spans="1:5" ht="12.75" customHeight="1" hidden="1">
      <c r="A707" s="585" t="s">
        <v>21</v>
      </c>
      <c r="B707" s="589" t="s">
        <v>112</v>
      </c>
      <c r="C707" s="298" t="s">
        <v>233</v>
      </c>
      <c r="D707" s="574" t="s">
        <v>235</v>
      </c>
      <c r="E707" s="301">
        <v>6.91</v>
      </c>
    </row>
    <row r="708" spans="1:5" ht="12.75" customHeight="1" hidden="1">
      <c r="A708" s="586"/>
      <c r="B708" s="590"/>
      <c r="C708" s="248" t="s">
        <v>234</v>
      </c>
      <c r="D708" s="575"/>
      <c r="E708" s="250">
        <f>E707*3.4528</f>
        <v>23.858848</v>
      </c>
    </row>
    <row r="709" spans="1:5" ht="12.75" customHeight="1" hidden="1">
      <c r="A709" s="570" t="s">
        <v>60</v>
      </c>
      <c r="B709" s="572" t="s">
        <v>117</v>
      </c>
      <c r="C709" s="298" t="s">
        <v>233</v>
      </c>
      <c r="D709" s="574" t="s">
        <v>121</v>
      </c>
      <c r="E709" s="252">
        <f>E705+E707</f>
        <v>7.07</v>
      </c>
    </row>
    <row r="710" spans="1:5" ht="12.75" customHeight="1" hidden="1">
      <c r="A710" s="571"/>
      <c r="B710" s="573"/>
      <c r="C710" s="248" t="s">
        <v>234</v>
      </c>
      <c r="D710" s="575"/>
      <c r="E710" s="254">
        <v>24.4</v>
      </c>
    </row>
    <row r="711" spans="1:5" ht="12.75" customHeight="1" hidden="1">
      <c r="A711" s="570" t="s">
        <v>72</v>
      </c>
      <c r="B711" s="577" t="s">
        <v>118</v>
      </c>
      <c r="C711" s="298" t="s">
        <v>233</v>
      </c>
      <c r="D711" s="258"/>
      <c r="E711" s="136">
        <f>E709*1.21</f>
        <v>8.5547</v>
      </c>
    </row>
    <row r="712" spans="1:5" ht="12.75" customHeight="1" hidden="1" thickBot="1">
      <c r="A712" s="576"/>
      <c r="B712" s="578"/>
      <c r="C712" s="304" t="s">
        <v>234</v>
      </c>
      <c r="D712" s="305"/>
      <c r="E712" s="314">
        <v>29.52</v>
      </c>
    </row>
    <row r="713" spans="1:5" ht="15" hidden="1">
      <c r="A713" s="264"/>
      <c r="B713" s="265"/>
      <c r="C713" s="266"/>
      <c r="D713" s="267"/>
      <c r="E713" s="268"/>
    </row>
    <row r="714" spans="2:4" ht="15" hidden="1">
      <c r="B714" t="s">
        <v>144</v>
      </c>
      <c r="C714" t="s">
        <v>148</v>
      </c>
      <c r="D714" s="101" t="s">
        <v>145</v>
      </c>
    </row>
    <row r="715" ht="15" hidden="1"/>
    <row r="716" spans="4:5" ht="11.25" customHeight="1" hidden="1">
      <c r="D716" s="446" t="s">
        <v>242</v>
      </c>
      <c r="E716" s="446"/>
    </row>
    <row r="717" spans="4:5" ht="11.25" customHeight="1" hidden="1">
      <c r="D717" s="550" t="s">
        <v>243</v>
      </c>
      <c r="E717" s="550"/>
    </row>
    <row r="718" spans="4:5" ht="11.25" customHeight="1" hidden="1">
      <c r="D718" s="550" t="s">
        <v>244</v>
      </c>
      <c r="E718" s="550"/>
    </row>
    <row r="719" spans="4:5" ht="11.25" customHeight="1" hidden="1">
      <c r="D719" s="448" t="s">
        <v>306</v>
      </c>
      <c r="E719" s="374"/>
    </row>
    <row r="720" spans="1:5" ht="6" customHeight="1" hidden="1">
      <c r="A720" s="87"/>
      <c r="B720" s="87"/>
      <c r="E720" s="87"/>
    </row>
    <row r="721" spans="1:4" ht="11.25" customHeight="1" hidden="1">
      <c r="A721" s="87" t="s">
        <v>245</v>
      </c>
      <c r="B721" s="87"/>
      <c r="D721" s="87" t="s">
        <v>246</v>
      </c>
    </row>
    <row r="722" spans="1:4" ht="12.75" customHeight="1" hidden="1">
      <c r="A722" s="87" t="s">
        <v>1</v>
      </c>
      <c r="B722" s="87"/>
      <c r="D722" s="87" t="s">
        <v>215</v>
      </c>
    </row>
    <row r="723" spans="1:4" ht="12.75" customHeight="1" hidden="1">
      <c r="A723" s="87" t="s">
        <v>2</v>
      </c>
      <c r="B723" s="87"/>
      <c r="D723" s="87" t="s">
        <v>249</v>
      </c>
    </row>
    <row r="724" spans="1:4" ht="12.75" customHeight="1" hidden="1">
      <c r="A724" s="87" t="s">
        <v>3</v>
      </c>
      <c r="B724" s="87"/>
      <c r="D724" s="87" t="s">
        <v>124</v>
      </c>
    </row>
    <row r="725" spans="1:4" ht="12.75" customHeight="1" hidden="1">
      <c r="A725" s="87" t="s">
        <v>4</v>
      </c>
      <c r="B725" s="87"/>
      <c r="D725" s="87" t="s">
        <v>227</v>
      </c>
    </row>
    <row r="726" spans="1:4" ht="12.75" customHeight="1" hidden="1">
      <c r="A726" s="87" t="s">
        <v>231</v>
      </c>
      <c r="B726" s="87"/>
      <c r="D726" s="87"/>
    </row>
    <row r="727" spans="1:4" ht="3" customHeight="1" hidden="1">
      <c r="A727" s="87"/>
      <c r="B727" s="87"/>
      <c r="D727" s="87"/>
    </row>
    <row r="728" spans="1:5" ht="15" customHeight="1" hidden="1">
      <c r="A728" s="96"/>
      <c r="B728" s="96" t="s">
        <v>305</v>
      </c>
      <c r="C728" s="96"/>
      <c r="D728" s="96"/>
      <c r="E728" s="96"/>
    </row>
    <row r="729" spans="3:4" s="375" customFormat="1" ht="12.75" customHeight="1" hidden="1">
      <c r="C729" s="498" t="s">
        <v>252</v>
      </c>
      <c r="D729" s="444"/>
    </row>
    <row r="730" ht="9" customHeight="1" hidden="1">
      <c r="C730" s="445" t="s">
        <v>146</v>
      </c>
    </row>
    <row r="731" spans="1:5" ht="13.5" customHeight="1" hidden="1">
      <c r="A731" s="337" t="s">
        <v>6</v>
      </c>
      <c r="B731" s="2"/>
      <c r="C731" s="2"/>
      <c r="D731" s="2"/>
      <c r="E731" s="376"/>
    </row>
    <row r="732" spans="1:5" ht="15" hidden="1">
      <c r="A732" s="336" t="s">
        <v>250</v>
      </c>
      <c r="B732" s="1"/>
      <c r="C732" s="1"/>
      <c r="D732" s="1"/>
      <c r="E732" s="316"/>
    </row>
    <row r="733" spans="1:5" ht="6" customHeight="1" hidden="1">
      <c r="A733" s="336"/>
      <c r="B733" s="1"/>
      <c r="C733" s="1"/>
      <c r="D733" s="1"/>
      <c r="E733" s="316"/>
    </row>
    <row r="734" spans="1:2" ht="12" customHeight="1" hidden="1">
      <c r="A734" s="1" t="s">
        <v>7</v>
      </c>
      <c r="B734" s="1"/>
    </row>
    <row r="735" spans="1:5" ht="27" customHeight="1" hidden="1" thickBot="1">
      <c r="A735" s="580" t="s">
        <v>326</v>
      </c>
      <c r="B735" s="580"/>
      <c r="C735" s="580"/>
      <c r="D735" s="580"/>
      <c r="E735" s="580"/>
    </row>
    <row r="736" spans="1:5" s="501" customFormat="1" ht="11.25" customHeight="1" hidden="1" thickBot="1">
      <c r="A736" s="307" t="s">
        <v>8</v>
      </c>
      <c r="B736" s="308" t="s">
        <v>9</v>
      </c>
      <c r="C736" s="308" t="s">
        <v>10</v>
      </c>
      <c r="D736" s="308" t="s">
        <v>11</v>
      </c>
      <c r="E736" s="309" t="s">
        <v>12</v>
      </c>
    </row>
    <row r="737" spans="1:5" s="501" customFormat="1" ht="13.5" customHeight="1" hidden="1">
      <c r="A737" s="159" t="s">
        <v>166</v>
      </c>
      <c r="B737" s="566" t="s">
        <v>171</v>
      </c>
      <c r="C737" s="567"/>
      <c r="D737" s="568"/>
      <c r="E737" s="569"/>
    </row>
    <row r="738" spans="1:5" s="501" customFormat="1" ht="16.5" customHeight="1" hidden="1">
      <c r="A738" s="461" t="s">
        <v>15</v>
      </c>
      <c r="B738" s="462" t="s">
        <v>109</v>
      </c>
      <c r="C738" s="298" t="s">
        <v>307</v>
      </c>
      <c r="D738" s="460" t="s">
        <v>111</v>
      </c>
      <c r="E738" s="502">
        <v>0.16</v>
      </c>
    </row>
    <row r="739" spans="1:5" s="501" customFormat="1" ht="15.75" customHeight="1" hidden="1">
      <c r="A739" s="513" t="s">
        <v>21</v>
      </c>
      <c r="B739" s="499" t="s">
        <v>112</v>
      </c>
      <c r="C739" s="298" t="s">
        <v>307</v>
      </c>
      <c r="D739" s="500" t="s">
        <v>185</v>
      </c>
      <c r="E739" s="503">
        <v>7.03</v>
      </c>
    </row>
    <row r="740" spans="1:5" s="501" customFormat="1" ht="13.5" customHeight="1" hidden="1">
      <c r="A740" s="237" t="s">
        <v>60</v>
      </c>
      <c r="B740" s="240" t="s">
        <v>113</v>
      </c>
      <c r="C740" s="504" t="s">
        <v>202</v>
      </c>
      <c r="D740" s="238"/>
      <c r="E740" s="505">
        <v>7.62</v>
      </c>
    </row>
    <row r="741" spans="1:5" s="501" customFormat="1" ht="14.25" customHeight="1" hidden="1">
      <c r="A741" s="157" t="s">
        <v>72</v>
      </c>
      <c r="B741" s="65" t="s">
        <v>114</v>
      </c>
      <c r="C741" s="99" t="s">
        <v>308</v>
      </c>
      <c r="D741" s="99" t="s">
        <v>324</v>
      </c>
      <c r="E741" s="506">
        <v>2.82</v>
      </c>
    </row>
    <row r="742" spans="1:5" s="501" customFormat="1" ht="13.5" customHeight="1" hidden="1">
      <c r="A742" s="243" t="s">
        <v>115</v>
      </c>
      <c r="B742" s="239" t="s">
        <v>116</v>
      </c>
      <c r="C742" s="99" t="s">
        <v>308</v>
      </c>
      <c r="D742" s="253" t="s">
        <v>143</v>
      </c>
      <c r="E742" s="507">
        <v>3.78</v>
      </c>
    </row>
    <row r="743" spans="1:5" s="501" customFormat="1" ht="12.75" customHeight="1" hidden="1">
      <c r="A743" s="570" t="s">
        <v>84</v>
      </c>
      <c r="B743" s="572" t="s">
        <v>117</v>
      </c>
      <c r="C743" s="99" t="s">
        <v>308</v>
      </c>
      <c r="D743" s="574" t="s">
        <v>121</v>
      </c>
      <c r="E743" s="508">
        <f>E738+E739</f>
        <v>7.19</v>
      </c>
    </row>
    <row r="744" spans="1:5" s="501" customFormat="1" ht="12.75" customHeight="1" hidden="1">
      <c r="A744" s="571"/>
      <c r="B744" s="573"/>
      <c r="C744" s="248" t="s">
        <v>325</v>
      </c>
      <c r="D744" s="575"/>
      <c r="E744" s="303">
        <f>E743*3.4528</f>
        <v>24.825632</v>
      </c>
    </row>
    <row r="745" spans="1:5" s="501" customFormat="1" ht="12.75" customHeight="1" hidden="1">
      <c r="A745" s="570" t="s">
        <v>85</v>
      </c>
      <c r="B745" s="577" t="s">
        <v>118</v>
      </c>
      <c r="C745" s="99" t="s">
        <v>308</v>
      </c>
      <c r="D745" s="65"/>
      <c r="E745" s="508">
        <f>E743*1.09</f>
        <v>7.837100000000001</v>
      </c>
    </row>
    <row r="746" spans="1:5" s="501" customFormat="1" ht="12.75" customHeight="1" hidden="1">
      <c r="A746" s="571"/>
      <c r="B746" s="579"/>
      <c r="C746" s="248" t="s">
        <v>325</v>
      </c>
      <c r="D746" s="240"/>
      <c r="E746" s="303">
        <f>E745*3.4528</f>
        <v>27.059938880000004</v>
      </c>
    </row>
    <row r="747" spans="1:5" s="501" customFormat="1" ht="12.75" customHeight="1" hidden="1">
      <c r="A747" s="570" t="s">
        <v>87</v>
      </c>
      <c r="B747" s="577" t="s">
        <v>119</v>
      </c>
      <c r="C747" s="99" t="s">
        <v>308</v>
      </c>
      <c r="D747" s="240"/>
      <c r="E747" s="509">
        <v>7.28</v>
      </c>
    </row>
    <row r="748" spans="1:5" s="501" customFormat="1" ht="12.75" customHeight="1" hidden="1">
      <c r="A748" s="571"/>
      <c r="B748" s="579"/>
      <c r="C748" s="248" t="s">
        <v>325</v>
      </c>
      <c r="D748" s="240"/>
      <c r="E748" s="303">
        <f>E747*3.4528</f>
        <v>25.136384</v>
      </c>
    </row>
    <row r="749" spans="1:5" s="501" customFormat="1" ht="15" hidden="1">
      <c r="A749" s="135" t="s">
        <v>89</v>
      </c>
      <c r="B749" s="65" t="s">
        <v>120</v>
      </c>
      <c r="C749" s="76" t="s">
        <v>95</v>
      </c>
      <c r="D749" s="65"/>
      <c r="E749" s="509">
        <f>(E743/E747)*100-100</f>
        <v>-1.2362637362637372</v>
      </c>
    </row>
    <row r="750" spans="1:5" s="501" customFormat="1" ht="13.5" customHeight="1" hidden="1">
      <c r="A750" s="159" t="s">
        <v>167</v>
      </c>
      <c r="B750" s="566" t="s">
        <v>164</v>
      </c>
      <c r="C750" s="567"/>
      <c r="D750" s="568"/>
      <c r="E750" s="569"/>
    </row>
    <row r="751" spans="1:5" s="501" customFormat="1" ht="14.25" customHeight="1" hidden="1">
      <c r="A751" s="461" t="s">
        <v>15</v>
      </c>
      <c r="B751" s="462" t="s">
        <v>109</v>
      </c>
      <c r="C751" s="298" t="s">
        <v>233</v>
      </c>
      <c r="D751" s="460" t="s">
        <v>111</v>
      </c>
      <c r="E751" s="510">
        <v>0.16</v>
      </c>
    </row>
    <row r="752" spans="1:5" s="501" customFormat="1" ht="15.75" customHeight="1" hidden="1">
      <c r="A752" s="461" t="s">
        <v>21</v>
      </c>
      <c r="B752" s="463" t="s">
        <v>112</v>
      </c>
      <c r="C752" s="298" t="s">
        <v>233</v>
      </c>
      <c r="D752" s="460" t="s">
        <v>235</v>
      </c>
      <c r="E752" s="503">
        <v>6.83</v>
      </c>
    </row>
    <row r="753" spans="1:5" s="501" customFormat="1" ht="12.75" customHeight="1" hidden="1">
      <c r="A753" s="570" t="s">
        <v>60</v>
      </c>
      <c r="B753" s="572" t="s">
        <v>117</v>
      </c>
      <c r="C753" s="298" t="s">
        <v>233</v>
      </c>
      <c r="D753" s="574" t="s">
        <v>121</v>
      </c>
      <c r="E753" s="508">
        <f>E751+E752</f>
        <v>6.99</v>
      </c>
    </row>
    <row r="754" spans="1:5" s="501" customFormat="1" ht="12.75" customHeight="1" hidden="1">
      <c r="A754" s="571"/>
      <c r="B754" s="573"/>
      <c r="C754" s="248" t="s">
        <v>325</v>
      </c>
      <c r="D754" s="575"/>
      <c r="E754" s="303">
        <v>24.14</v>
      </c>
    </row>
    <row r="755" spans="1:5" s="501" customFormat="1" ht="12.75" customHeight="1" hidden="1">
      <c r="A755" s="570" t="s">
        <v>72</v>
      </c>
      <c r="B755" s="577" t="s">
        <v>118</v>
      </c>
      <c r="C755" s="298" t="s">
        <v>233</v>
      </c>
      <c r="D755" s="65"/>
      <c r="E755" s="511">
        <f>E753*1.21</f>
        <v>8.4579</v>
      </c>
    </row>
    <row r="756" spans="1:5" s="501" customFormat="1" ht="12.75" customHeight="1" hidden="1" thickBot="1">
      <c r="A756" s="576"/>
      <c r="B756" s="578"/>
      <c r="C756" s="304" t="s">
        <v>325</v>
      </c>
      <c r="D756" s="305"/>
      <c r="E756" s="512">
        <v>29.21</v>
      </c>
    </row>
    <row r="757" spans="1:5" ht="11.25" customHeight="1" hidden="1">
      <c r="A757" s="264"/>
      <c r="B757" s="265"/>
      <c r="C757" s="266"/>
      <c r="D757" s="267"/>
      <c r="E757" s="268"/>
    </row>
    <row r="758" spans="2:4" ht="15" hidden="1">
      <c r="B758" t="s">
        <v>144</v>
      </c>
      <c r="C758" t="s">
        <v>148</v>
      </c>
      <c r="D758" s="101" t="s">
        <v>145</v>
      </c>
    </row>
    <row r="759" ht="15" hidden="1"/>
    <row r="760" spans="4:5" ht="11.25" customHeight="1" hidden="1">
      <c r="D760" s="446" t="s">
        <v>242</v>
      </c>
      <c r="E760" s="446"/>
    </row>
    <row r="761" spans="4:5" ht="11.25" customHeight="1" hidden="1">
      <c r="D761" s="550" t="s">
        <v>243</v>
      </c>
      <c r="E761" s="550"/>
    </row>
    <row r="762" spans="4:5" ht="11.25" customHeight="1" hidden="1">
      <c r="D762" s="550" t="s">
        <v>244</v>
      </c>
      <c r="E762" s="550"/>
    </row>
    <row r="763" spans="4:5" ht="11.25" customHeight="1" hidden="1">
      <c r="D763" s="466" t="s">
        <v>306</v>
      </c>
      <c r="E763" s="374"/>
    </row>
    <row r="764" spans="1:5" ht="6" customHeight="1" hidden="1">
      <c r="A764" s="87"/>
      <c r="B764" s="87"/>
      <c r="E764" s="87"/>
    </row>
    <row r="765" spans="1:4" ht="11.25" customHeight="1" hidden="1">
      <c r="A765" s="87" t="s">
        <v>245</v>
      </c>
      <c r="B765" s="87"/>
      <c r="D765" s="87" t="s">
        <v>246</v>
      </c>
    </row>
    <row r="766" spans="1:4" ht="12.75" customHeight="1" hidden="1">
      <c r="A766" s="87" t="s">
        <v>1</v>
      </c>
      <c r="B766" s="87"/>
      <c r="D766" s="87" t="s">
        <v>215</v>
      </c>
    </row>
    <row r="767" spans="1:4" ht="12.75" customHeight="1" hidden="1">
      <c r="A767" s="87" t="s">
        <v>2</v>
      </c>
      <c r="B767" s="87"/>
      <c r="D767" s="87" t="s">
        <v>249</v>
      </c>
    </row>
    <row r="768" spans="1:4" ht="12.75" customHeight="1" hidden="1">
      <c r="A768" s="87" t="s">
        <v>3</v>
      </c>
      <c r="B768" s="87"/>
      <c r="D768" s="87" t="s">
        <v>124</v>
      </c>
    </row>
    <row r="769" spans="1:4" ht="12.75" customHeight="1" hidden="1">
      <c r="A769" s="87" t="s">
        <v>4</v>
      </c>
      <c r="B769" s="87"/>
      <c r="D769" s="87" t="s">
        <v>227</v>
      </c>
    </row>
    <row r="770" spans="1:4" ht="12.75" customHeight="1" hidden="1">
      <c r="A770" s="87" t="s">
        <v>231</v>
      </c>
      <c r="B770" s="87"/>
      <c r="D770" s="87"/>
    </row>
    <row r="771" spans="1:4" ht="3" customHeight="1" hidden="1">
      <c r="A771" s="87"/>
      <c r="B771" s="87"/>
      <c r="D771" s="87"/>
    </row>
    <row r="772" spans="1:5" ht="15" customHeight="1" hidden="1">
      <c r="A772" s="96"/>
      <c r="B772" s="96" t="s">
        <v>329</v>
      </c>
      <c r="C772" s="96"/>
      <c r="D772" s="96"/>
      <c r="E772" s="96"/>
    </row>
    <row r="773" spans="3:4" s="375" customFormat="1" ht="12.75" customHeight="1" hidden="1">
      <c r="C773" s="498" t="s">
        <v>328</v>
      </c>
      <c r="D773" s="444"/>
    </row>
    <row r="774" ht="9" customHeight="1" hidden="1">
      <c r="C774" s="445" t="s">
        <v>146</v>
      </c>
    </row>
    <row r="775" spans="1:5" ht="13.5" customHeight="1" hidden="1">
      <c r="A775" s="337" t="s">
        <v>6</v>
      </c>
      <c r="B775" s="2"/>
      <c r="C775" s="2"/>
      <c r="D775" s="2"/>
      <c r="E775" s="376"/>
    </row>
    <row r="776" spans="1:5" ht="15" hidden="1">
      <c r="A776" s="336" t="s">
        <v>250</v>
      </c>
      <c r="B776" s="1"/>
      <c r="C776" s="1"/>
      <c r="D776" s="1"/>
      <c r="E776" s="316"/>
    </row>
    <row r="777" spans="1:5" ht="6" customHeight="1" hidden="1">
      <c r="A777" s="336"/>
      <c r="B777" s="1"/>
      <c r="C777" s="1"/>
      <c r="D777" s="1"/>
      <c r="E777" s="316"/>
    </row>
    <row r="778" spans="1:2" ht="12" customHeight="1" hidden="1">
      <c r="A778" s="1" t="s">
        <v>7</v>
      </c>
      <c r="B778" s="1"/>
    </row>
    <row r="779" spans="1:5" ht="27" customHeight="1" hidden="1" thickBot="1">
      <c r="A779" s="580" t="s">
        <v>326</v>
      </c>
      <c r="B779" s="580"/>
      <c r="C779" s="580"/>
      <c r="D779" s="580"/>
      <c r="E779" s="580"/>
    </row>
    <row r="780" spans="1:5" s="501" customFormat="1" ht="11.25" customHeight="1" hidden="1" thickBot="1">
      <c r="A780" s="307" t="s">
        <v>8</v>
      </c>
      <c r="B780" s="308" t="s">
        <v>9</v>
      </c>
      <c r="C780" s="308" t="s">
        <v>10</v>
      </c>
      <c r="D780" s="308" t="s">
        <v>11</v>
      </c>
      <c r="E780" s="309" t="s">
        <v>12</v>
      </c>
    </row>
    <row r="781" spans="1:5" s="501" customFormat="1" ht="13.5" customHeight="1" hidden="1">
      <c r="A781" s="159" t="s">
        <v>166</v>
      </c>
      <c r="B781" s="566" t="s">
        <v>171</v>
      </c>
      <c r="C781" s="567"/>
      <c r="D781" s="568"/>
      <c r="E781" s="569"/>
    </row>
    <row r="782" spans="1:5" s="501" customFormat="1" ht="16.5" customHeight="1" hidden="1">
      <c r="A782" s="469" t="s">
        <v>15</v>
      </c>
      <c r="B782" s="462" t="s">
        <v>109</v>
      </c>
      <c r="C782" s="298" t="s">
        <v>307</v>
      </c>
      <c r="D782" s="467" t="s">
        <v>111</v>
      </c>
      <c r="E782" s="502">
        <v>0.16</v>
      </c>
    </row>
    <row r="783" spans="1:5" s="501" customFormat="1" ht="15.75" customHeight="1" hidden="1">
      <c r="A783" s="513" t="s">
        <v>21</v>
      </c>
      <c r="B783" s="499" t="s">
        <v>112</v>
      </c>
      <c r="C783" s="298" t="s">
        <v>307</v>
      </c>
      <c r="D783" s="500" t="s">
        <v>185</v>
      </c>
      <c r="E783" s="503">
        <f>ROUND(52.69*E784/100,2)+ROUND(1.03*E785,2)+ROUND(0.032*E786,2)</f>
        <v>7.250000000000001</v>
      </c>
    </row>
    <row r="784" spans="1:5" s="501" customFormat="1" ht="13.5" customHeight="1" hidden="1">
      <c r="A784" s="237" t="s">
        <v>60</v>
      </c>
      <c r="B784" s="240" t="s">
        <v>113</v>
      </c>
      <c r="C784" s="504" t="s">
        <v>202</v>
      </c>
      <c r="D784" s="238"/>
      <c r="E784" s="505">
        <v>8.03</v>
      </c>
    </row>
    <row r="785" spans="1:5" s="501" customFormat="1" ht="14.25" customHeight="1" hidden="1">
      <c r="A785" s="157" t="s">
        <v>72</v>
      </c>
      <c r="B785" s="65" t="s">
        <v>114</v>
      </c>
      <c r="C785" s="99" t="s">
        <v>308</v>
      </c>
      <c r="D785" s="99" t="s">
        <v>324</v>
      </c>
      <c r="E785" s="506">
        <v>2.82</v>
      </c>
    </row>
    <row r="786" spans="1:5" s="501" customFormat="1" ht="13.5" customHeight="1" hidden="1">
      <c r="A786" s="243" t="s">
        <v>115</v>
      </c>
      <c r="B786" s="239" t="s">
        <v>116</v>
      </c>
      <c r="C786" s="99" t="s">
        <v>308</v>
      </c>
      <c r="D786" s="253" t="s">
        <v>143</v>
      </c>
      <c r="E786" s="507">
        <v>3.78</v>
      </c>
    </row>
    <row r="787" spans="1:5" s="501" customFormat="1" ht="12.75" customHeight="1" hidden="1">
      <c r="A787" s="570" t="s">
        <v>84</v>
      </c>
      <c r="B787" s="572" t="s">
        <v>117</v>
      </c>
      <c r="C787" s="99" t="s">
        <v>308</v>
      </c>
      <c r="D787" s="574" t="s">
        <v>121</v>
      </c>
      <c r="E787" s="508">
        <f>E782+E783</f>
        <v>7.410000000000001</v>
      </c>
    </row>
    <row r="788" spans="1:5" s="501" customFormat="1" ht="12.75" customHeight="1" hidden="1">
      <c r="A788" s="571"/>
      <c r="B788" s="573"/>
      <c r="C788" s="248" t="s">
        <v>325</v>
      </c>
      <c r="D788" s="575"/>
      <c r="E788" s="303">
        <f>E787*3.4528</f>
        <v>25.585248000000004</v>
      </c>
    </row>
    <row r="789" spans="1:5" s="501" customFormat="1" ht="12.75" customHeight="1" hidden="1">
      <c r="A789" s="570" t="s">
        <v>85</v>
      </c>
      <c r="B789" s="577" t="s">
        <v>118</v>
      </c>
      <c r="C789" s="99" t="s">
        <v>308</v>
      </c>
      <c r="D789" s="65"/>
      <c r="E789" s="508">
        <f>E787*1.09</f>
        <v>8.076900000000002</v>
      </c>
    </row>
    <row r="790" spans="1:5" s="501" customFormat="1" ht="12.75" customHeight="1" hidden="1">
      <c r="A790" s="571"/>
      <c r="B790" s="579"/>
      <c r="C790" s="248" t="s">
        <v>325</v>
      </c>
      <c r="D790" s="240"/>
      <c r="E790" s="303">
        <f>E789*3.4528</f>
        <v>27.887920320000006</v>
      </c>
    </row>
    <row r="791" spans="1:5" s="501" customFormat="1" ht="12.75" customHeight="1" hidden="1">
      <c r="A791" s="570" t="s">
        <v>87</v>
      </c>
      <c r="B791" s="577" t="s">
        <v>119</v>
      </c>
      <c r="C791" s="99" t="s">
        <v>308</v>
      </c>
      <c r="D791" s="240"/>
      <c r="E791" s="509">
        <v>7.19</v>
      </c>
    </row>
    <row r="792" spans="1:5" s="501" customFormat="1" ht="12.75" customHeight="1" hidden="1">
      <c r="A792" s="571"/>
      <c r="B792" s="579"/>
      <c r="C792" s="248" t="s">
        <v>325</v>
      </c>
      <c r="D792" s="240"/>
      <c r="E792" s="303">
        <f>E791*3.4528</f>
        <v>24.825632</v>
      </c>
    </row>
    <row r="793" spans="1:5" s="501" customFormat="1" ht="15" hidden="1">
      <c r="A793" s="135" t="s">
        <v>89</v>
      </c>
      <c r="B793" s="65" t="s">
        <v>120</v>
      </c>
      <c r="C793" s="76" t="s">
        <v>95</v>
      </c>
      <c r="D793" s="65"/>
      <c r="E793" s="509">
        <f>(E787/E791)*100-100</f>
        <v>3.059805285118216</v>
      </c>
    </row>
    <row r="794" spans="1:5" s="501" customFormat="1" ht="13.5" customHeight="1" hidden="1">
      <c r="A794" s="159" t="s">
        <v>167</v>
      </c>
      <c r="B794" s="566" t="s">
        <v>164</v>
      </c>
      <c r="C794" s="567"/>
      <c r="D794" s="568"/>
      <c r="E794" s="569"/>
    </row>
    <row r="795" spans="1:5" s="501" customFormat="1" ht="14.25" customHeight="1" hidden="1">
      <c r="A795" s="469" t="s">
        <v>15</v>
      </c>
      <c r="B795" s="462" t="s">
        <v>109</v>
      </c>
      <c r="C795" s="298" t="s">
        <v>233</v>
      </c>
      <c r="D795" s="467" t="s">
        <v>111</v>
      </c>
      <c r="E795" s="510">
        <v>0.16</v>
      </c>
    </row>
    <row r="796" spans="1:5" s="501" customFormat="1" ht="15.75" customHeight="1" hidden="1">
      <c r="A796" s="469" t="s">
        <v>21</v>
      </c>
      <c r="B796" s="468" t="s">
        <v>112</v>
      </c>
      <c r="C796" s="298" t="s">
        <v>233</v>
      </c>
      <c r="D796" s="467" t="s">
        <v>235</v>
      </c>
      <c r="E796" s="503">
        <f>51*E784/100+1*E785+0.032*E786</f>
        <v>7.03626</v>
      </c>
    </row>
    <row r="797" spans="1:5" s="501" customFormat="1" ht="12.75" customHeight="1" hidden="1">
      <c r="A797" s="570" t="s">
        <v>60</v>
      </c>
      <c r="B797" s="572" t="s">
        <v>117</v>
      </c>
      <c r="C797" s="298" t="s">
        <v>233</v>
      </c>
      <c r="D797" s="574" t="s">
        <v>121</v>
      </c>
      <c r="E797" s="508">
        <f>E795+E796</f>
        <v>7.1962600000000005</v>
      </c>
    </row>
    <row r="798" spans="1:5" s="501" customFormat="1" ht="12.75" customHeight="1" hidden="1">
      <c r="A798" s="571"/>
      <c r="B798" s="573"/>
      <c r="C798" s="248" t="s">
        <v>325</v>
      </c>
      <c r="D798" s="575"/>
      <c r="E798" s="303">
        <f>+E797*3.4528</f>
        <v>24.847246528</v>
      </c>
    </row>
    <row r="799" spans="1:5" s="501" customFormat="1" ht="12.75" customHeight="1" hidden="1">
      <c r="A799" s="570" t="s">
        <v>72</v>
      </c>
      <c r="B799" s="577" t="s">
        <v>118</v>
      </c>
      <c r="C799" s="298" t="s">
        <v>233</v>
      </c>
      <c r="D799" s="65"/>
      <c r="E799" s="511">
        <f>E797*1.21</f>
        <v>8.707474600000001</v>
      </c>
    </row>
    <row r="800" spans="1:5" s="501" customFormat="1" ht="12.75" customHeight="1" hidden="1" thickBot="1">
      <c r="A800" s="576"/>
      <c r="B800" s="578"/>
      <c r="C800" s="304" t="s">
        <v>325</v>
      </c>
      <c r="D800" s="305"/>
      <c r="E800" s="512">
        <f>+E799*3.4528</f>
        <v>30.065168298880003</v>
      </c>
    </row>
    <row r="801" spans="1:5" ht="11.25" customHeight="1" hidden="1">
      <c r="A801" s="264"/>
      <c r="B801" s="265"/>
      <c r="C801" s="266"/>
      <c r="D801" s="267"/>
      <c r="E801" s="268"/>
    </row>
    <row r="802" spans="2:4" ht="15" hidden="1">
      <c r="B802" t="s">
        <v>144</v>
      </c>
      <c r="C802" t="s">
        <v>148</v>
      </c>
      <c r="D802" s="101" t="s">
        <v>145</v>
      </c>
    </row>
    <row r="803" ht="15" hidden="1"/>
    <row r="804" spans="4:5" ht="11.25" customHeight="1" hidden="1">
      <c r="D804" s="446" t="s">
        <v>242</v>
      </c>
      <c r="E804" s="446"/>
    </row>
    <row r="805" spans="4:5" ht="11.25" customHeight="1" hidden="1">
      <c r="D805" s="550" t="s">
        <v>243</v>
      </c>
      <c r="E805" s="550"/>
    </row>
    <row r="806" spans="4:5" ht="11.25" customHeight="1" hidden="1">
      <c r="D806" s="550" t="s">
        <v>244</v>
      </c>
      <c r="E806" s="550"/>
    </row>
    <row r="807" spans="4:5" ht="11.25" customHeight="1" hidden="1">
      <c r="D807" s="514" t="s">
        <v>306</v>
      </c>
      <c r="E807" s="374"/>
    </row>
    <row r="808" spans="1:5" ht="6" customHeight="1" hidden="1">
      <c r="A808" s="87"/>
      <c r="B808" s="87"/>
      <c r="E808" s="87"/>
    </row>
    <row r="809" spans="1:4" ht="11.25" customHeight="1" hidden="1">
      <c r="A809" s="87" t="s">
        <v>245</v>
      </c>
      <c r="B809" s="87"/>
      <c r="D809" s="87" t="s">
        <v>246</v>
      </c>
    </row>
    <row r="810" spans="1:4" ht="12.75" customHeight="1" hidden="1">
      <c r="A810" s="87" t="s">
        <v>1</v>
      </c>
      <c r="B810" s="87"/>
      <c r="D810" s="87" t="s">
        <v>215</v>
      </c>
    </row>
    <row r="811" spans="1:4" ht="12.75" customHeight="1" hidden="1">
      <c r="A811" s="87" t="s">
        <v>2</v>
      </c>
      <c r="B811" s="87"/>
      <c r="D811" s="87" t="s">
        <v>249</v>
      </c>
    </row>
    <row r="812" spans="1:4" ht="12.75" customHeight="1" hidden="1">
      <c r="A812" s="87" t="s">
        <v>3</v>
      </c>
      <c r="B812" s="87"/>
      <c r="D812" s="87" t="s">
        <v>124</v>
      </c>
    </row>
    <row r="813" spans="1:4" ht="12.75" customHeight="1" hidden="1">
      <c r="A813" s="87" t="s">
        <v>4</v>
      </c>
      <c r="B813" s="87"/>
      <c r="D813" s="87" t="s">
        <v>227</v>
      </c>
    </row>
    <row r="814" spans="1:4" ht="12.75" customHeight="1" hidden="1">
      <c r="A814" s="87" t="s">
        <v>231</v>
      </c>
      <c r="B814" s="87"/>
      <c r="D814" s="87"/>
    </row>
    <row r="815" spans="1:4" ht="3" customHeight="1" hidden="1">
      <c r="A815" s="87"/>
      <c r="B815" s="87"/>
      <c r="D815" s="87"/>
    </row>
    <row r="816" spans="1:5" ht="15" customHeight="1" hidden="1">
      <c r="A816" s="96"/>
      <c r="B816" s="96" t="s">
        <v>332</v>
      </c>
      <c r="C816" s="96"/>
      <c r="D816" s="96"/>
      <c r="E816" s="96"/>
    </row>
    <row r="817" spans="3:4" s="375" customFormat="1" ht="12.75" customHeight="1" hidden="1">
      <c r="C817" s="498" t="s">
        <v>331</v>
      </c>
      <c r="D817" s="444"/>
    </row>
    <row r="818" ht="9" customHeight="1" hidden="1">
      <c r="C818" s="445" t="s">
        <v>146</v>
      </c>
    </row>
    <row r="819" spans="1:5" ht="13.5" customHeight="1" hidden="1">
      <c r="A819" s="337" t="s">
        <v>6</v>
      </c>
      <c r="B819" s="2"/>
      <c r="C819" s="2"/>
      <c r="D819" s="2"/>
      <c r="E819" s="376"/>
    </row>
    <row r="820" spans="1:5" ht="15" hidden="1">
      <c r="A820" s="336" t="s">
        <v>250</v>
      </c>
      <c r="B820" s="1"/>
      <c r="C820" s="1"/>
      <c r="D820" s="1"/>
      <c r="E820" s="316"/>
    </row>
    <row r="821" spans="1:5" ht="6" customHeight="1" hidden="1">
      <c r="A821" s="336"/>
      <c r="B821" s="1"/>
      <c r="C821" s="1"/>
      <c r="D821" s="1"/>
      <c r="E821" s="316"/>
    </row>
    <row r="822" spans="1:2" ht="12" customHeight="1" hidden="1">
      <c r="A822" s="1" t="s">
        <v>7</v>
      </c>
      <c r="B822" s="1"/>
    </row>
    <row r="823" spans="1:5" ht="18.75" customHeight="1" hidden="1" thickBot="1">
      <c r="A823" s="580" t="s">
        <v>333</v>
      </c>
      <c r="B823" s="580"/>
      <c r="C823" s="580"/>
      <c r="D823" s="580"/>
      <c r="E823" s="580"/>
    </row>
    <row r="824" spans="1:5" s="501" customFormat="1" ht="11.25" customHeight="1" hidden="1" thickBot="1">
      <c r="A824" s="307" t="s">
        <v>8</v>
      </c>
      <c r="B824" s="308" t="s">
        <v>9</v>
      </c>
      <c r="C824" s="308" t="s">
        <v>10</v>
      </c>
      <c r="D824" s="308" t="s">
        <v>11</v>
      </c>
      <c r="E824" s="309" t="s">
        <v>12</v>
      </c>
    </row>
    <row r="825" spans="1:5" s="501" customFormat="1" ht="13.5" customHeight="1" hidden="1">
      <c r="A825" s="159" t="s">
        <v>166</v>
      </c>
      <c r="B825" s="566" t="s">
        <v>171</v>
      </c>
      <c r="C825" s="567"/>
      <c r="D825" s="568"/>
      <c r="E825" s="569"/>
    </row>
    <row r="826" spans="1:5" s="501" customFormat="1" ht="16.5" customHeight="1" hidden="1">
      <c r="A826" s="517" t="s">
        <v>15</v>
      </c>
      <c r="B826" s="462" t="s">
        <v>109</v>
      </c>
      <c r="C826" s="298" t="s">
        <v>307</v>
      </c>
      <c r="D826" s="516" t="s">
        <v>111</v>
      </c>
      <c r="E826" s="503">
        <v>0.2</v>
      </c>
    </row>
    <row r="827" spans="1:5" s="501" customFormat="1" ht="15.75" customHeight="1" hidden="1">
      <c r="A827" s="513" t="s">
        <v>21</v>
      </c>
      <c r="B827" s="499" t="s">
        <v>112</v>
      </c>
      <c r="C827" s="298" t="s">
        <v>307</v>
      </c>
      <c r="D827" s="500" t="s">
        <v>334</v>
      </c>
      <c r="E827" s="503">
        <f>ROUND(51.85*E828/100,2)+ROUND(1.017*E829,2)+ROUND(0.034*E830,2)</f>
        <v>7</v>
      </c>
    </row>
    <row r="828" spans="1:5" s="501" customFormat="1" ht="13.5" customHeight="1" hidden="1">
      <c r="A828" s="237" t="s">
        <v>60</v>
      </c>
      <c r="B828" s="240" t="s">
        <v>113</v>
      </c>
      <c r="C828" s="504" t="s">
        <v>202</v>
      </c>
      <c r="D828" s="238"/>
      <c r="E828" s="505">
        <v>7.72</v>
      </c>
    </row>
    <row r="829" spans="1:5" s="501" customFormat="1" ht="14.25" customHeight="1" hidden="1">
      <c r="A829" s="157" t="s">
        <v>72</v>
      </c>
      <c r="B829" s="65" t="s">
        <v>114</v>
      </c>
      <c r="C829" s="99" t="s">
        <v>308</v>
      </c>
      <c r="D829" s="99" t="s">
        <v>324</v>
      </c>
      <c r="E829" s="506">
        <v>2.82</v>
      </c>
    </row>
    <row r="830" spans="1:5" s="501" customFormat="1" ht="13.5" customHeight="1" hidden="1">
      <c r="A830" s="243" t="s">
        <v>115</v>
      </c>
      <c r="B830" s="239" t="s">
        <v>116</v>
      </c>
      <c r="C830" s="99" t="s">
        <v>308</v>
      </c>
      <c r="D830" s="253" t="s">
        <v>143</v>
      </c>
      <c r="E830" s="507">
        <v>3.78</v>
      </c>
    </row>
    <row r="831" spans="1:5" s="501" customFormat="1" ht="12.75" customHeight="1" hidden="1">
      <c r="A831" s="570" t="s">
        <v>84</v>
      </c>
      <c r="B831" s="572" t="s">
        <v>117</v>
      </c>
      <c r="C831" s="99" t="s">
        <v>308</v>
      </c>
      <c r="D831" s="574" t="s">
        <v>121</v>
      </c>
      <c r="E831" s="508">
        <f>E826+E827</f>
        <v>7.2</v>
      </c>
    </row>
    <row r="832" spans="1:5" s="501" customFormat="1" ht="12.75" customHeight="1" hidden="1">
      <c r="A832" s="571"/>
      <c r="B832" s="573"/>
      <c r="C832" s="248" t="s">
        <v>325</v>
      </c>
      <c r="D832" s="575"/>
      <c r="E832" s="303">
        <f>E831*3.4528</f>
        <v>24.86016</v>
      </c>
    </row>
    <row r="833" spans="1:5" s="501" customFormat="1" ht="12.75" customHeight="1" hidden="1">
      <c r="A833" s="570" t="s">
        <v>85</v>
      </c>
      <c r="B833" s="577" t="s">
        <v>118</v>
      </c>
      <c r="C833" s="99" t="s">
        <v>308</v>
      </c>
      <c r="D833" s="65"/>
      <c r="E833" s="508">
        <f>E831*1.09</f>
        <v>7.848000000000001</v>
      </c>
    </row>
    <row r="834" spans="1:5" s="501" customFormat="1" ht="12.75" customHeight="1" hidden="1">
      <c r="A834" s="571"/>
      <c r="B834" s="579"/>
      <c r="C834" s="248" t="s">
        <v>325</v>
      </c>
      <c r="D834" s="240"/>
      <c r="E834" s="303">
        <f>E833*3.4528</f>
        <v>27.097574400000003</v>
      </c>
    </row>
    <row r="835" spans="1:5" s="501" customFormat="1" ht="12.75" customHeight="1" hidden="1">
      <c r="A835" s="570" t="s">
        <v>87</v>
      </c>
      <c r="B835" s="577" t="s">
        <v>119</v>
      </c>
      <c r="C835" s="99" t="s">
        <v>308</v>
      </c>
      <c r="D835" s="240"/>
      <c r="E835" s="509">
        <v>7.41</v>
      </c>
    </row>
    <row r="836" spans="1:5" s="501" customFormat="1" ht="12.75" customHeight="1" hidden="1">
      <c r="A836" s="571"/>
      <c r="B836" s="579"/>
      <c r="C836" s="248" t="s">
        <v>325</v>
      </c>
      <c r="D836" s="240"/>
      <c r="E836" s="303">
        <f>E835*3.4528</f>
        <v>25.585248</v>
      </c>
    </row>
    <row r="837" spans="1:5" s="501" customFormat="1" ht="15" hidden="1">
      <c r="A837" s="135" t="s">
        <v>89</v>
      </c>
      <c r="B837" s="65" t="s">
        <v>120</v>
      </c>
      <c r="C837" s="76" t="s">
        <v>95</v>
      </c>
      <c r="D837" s="65"/>
      <c r="E837" s="509">
        <f>(E831/E835)*100-100</f>
        <v>-2.8340080971659916</v>
      </c>
    </row>
    <row r="838" spans="1:5" s="501" customFormat="1" ht="13.5" customHeight="1" hidden="1">
      <c r="A838" s="159" t="s">
        <v>167</v>
      </c>
      <c r="B838" s="566" t="s">
        <v>164</v>
      </c>
      <c r="C838" s="567"/>
      <c r="D838" s="568"/>
      <c r="E838" s="569"/>
    </row>
    <row r="839" spans="1:5" s="501" customFormat="1" ht="14.25" customHeight="1" hidden="1">
      <c r="A839" s="517" t="s">
        <v>15</v>
      </c>
      <c r="B839" s="462" t="s">
        <v>109</v>
      </c>
      <c r="C839" s="298" t="s">
        <v>233</v>
      </c>
      <c r="D839" s="516" t="s">
        <v>111</v>
      </c>
      <c r="E839" s="523">
        <v>0.2</v>
      </c>
    </row>
    <row r="840" spans="1:5" s="501" customFormat="1" ht="15.75" customHeight="1" hidden="1">
      <c r="A840" s="517" t="s">
        <v>21</v>
      </c>
      <c r="B840" s="519" t="s">
        <v>112</v>
      </c>
      <c r="C840" s="298" t="s">
        <v>233</v>
      </c>
      <c r="D840" s="516" t="s">
        <v>335</v>
      </c>
      <c r="E840" s="503">
        <f>51*E828/100+1*E829+0.034*E830</f>
        <v>6.885719999999999</v>
      </c>
    </row>
    <row r="841" spans="1:5" s="501" customFormat="1" ht="12.75" customHeight="1" hidden="1">
      <c r="A841" s="570" t="s">
        <v>60</v>
      </c>
      <c r="B841" s="572" t="s">
        <v>117</v>
      </c>
      <c r="C841" s="298" t="s">
        <v>233</v>
      </c>
      <c r="D841" s="574" t="s">
        <v>121</v>
      </c>
      <c r="E841" s="508">
        <f>ROUND(E839+E840,2)</f>
        <v>7.09</v>
      </c>
    </row>
    <row r="842" spans="1:5" s="501" customFormat="1" ht="12.75" customHeight="1" hidden="1">
      <c r="A842" s="571"/>
      <c r="B842" s="573"/>
      <c r="C842" s="248" t="s">
        <v>325</v>
      </c>
      <c r="D842" s="575"/>
      <c r="E842" s="303">
        <f>+E841*3.4528</f>
        <v>24.480352</v>
      </c>
    </row>
    <row r="843" spans="1:5" s="501" customFormat="1" ht="12.75" customHeight="1" hidden="1">
      <c r="A843" s="570" t="s">
        <v>72</v>
      </c>
      <c r="B843" s="577" t="s">
        <v>118</v>
      </c>
      <c r="C843" s="298" t="s">
        <v>233</v>
      </c>
      <c r="D843" s="65"/>
      <c r="E843" s="511">
        <f>E841*1.21</f>
        <v>8.578899999999999</v>
      </c>
    </row>
    <row r="844" spans="1:5" s="501" customFormat="1" ht="12.75" customHeight="1" hidden="1" thickBot="1">
      <c r="A844" s="576"/>
      <c r="B844" s="578"/>
      <c r="C844" s="304" t="s">
        <v>325</v>
      </c>
      <c r="D844" s="305"/>
      <c r="E844" s="512">
        <f>+E843*3.4528</f>
        <v>29.621225919999997</v>
      </c>
    </row>
    <row r="845" spans="1:5" ht="11.25" customHeight="1" hidden="1">
      <c r="A845" s="264"/>
      <c r="B845" s="265"/>
      <c r="C845" s="266"/>
      <c r="D845" s="267"/>
      <c r="E845" s="268"/>
    </row>
    <row r="846" spans="2:4" ht="15" hidden="1">
      <c r="B846" t="s">
        <v>144</v>
      </c>
      <c r="C846" t="s">
        <v>148</v>
      </c>
      <c r="D846" s="101" t="s">
        <v>145</v>
      </c>
    </row>
    <row r="848" spans="4:5" ht="11.25" customHeight="1">
      <c r="D848" s="446" t="s">
        <v>242</v>
      </c>
      <c r="E848" s="446"/>
    </row>
    <row r="849" spans="4:5" ht="11.25" customHeight="1">
      <c r="D849" s="550" t="s">
        <v>243</v>
      </c>
      <c r="E849" s="550"/>
    </row>
    <row r="850" spans="4:5" ht="11.25" customHeight="1">
      <c r="D850" s="550" t="s">
        <v>244</v>
      </c>
      <c r="E850" s="550"/>
    </row>
    <row r="851" spans="4:5" ht="11.25" customHeight="1">
      <c r="D851" s="527" t="s">
        <v>306</v>
      </c>
      <c r="E851" s="374"/>
    </row>
    <row r="852" spans="1:5" ht="6" customHeight="1">
      <c r="A852" s="87"/>
      <c r="B852" s="87"/>
      <c r="E852" s="87"/>
    </row>
    <row r="853" spans="1:4" ht="11.25" customHeight="1">
      <c r="A853" s="87" t="s">
        <v>245</v>
      </c>
      <c r="B853" s="87"/>
      <c r="D853" s="87" t="s">
        <v>246</v>
      </c>
    </row>
    <row r="854" spans="1:4" ht="12.75" customHeight="1">
      <c r="A854" s="87" t="s">
        <v>1</v>
      </c>
      <c r="B854" s="87"/>
      <c r="D854" s="87" t="s">
        <v>215</v>
      </c>
    </row>
    <row r="855" spans="1:4" ht="12.75" customHeight="1">
      <c r="A855" s="87" t="s">
        <v>2</v>
      </c>
      <c r="B855" s="87"/>
      <c r="D855" s="87" t="s">
        <v>249</v>
      </c>
    </row>
    <row r="856" spans="1:4" ht="12.75" customHeight="1">
      <c r="A856" s="87" t="s">
        <v>3</v>
      </c>
      <c r="B856" s="87"/>
      <c r="D856" s="87" t="s">
        <v>124</v>
      </c>
    </row>
    <row r="857" spans="1:4" ht="12.75" customHeight="1">
      <c r="A857" s="87" t="s">
        <v>4</v>
      </c>
      <c r="B857" s="87"/>
      <c r="D857" s="87" t="s">
        <v>227</v>
      </c>
    </row>
    <row r="858" spans="1:4" ht="12.75" customHeight="1">
      <c r="A858" s="87" t="s">
        <v>231</v>
      </c>
      <c r="B858" s="87"/>
      <c r="D858" s="87"/>
    </row>
    <row r="859" spans="1:4" ht="3" customHeight="1">
      <c r="A859" s="87"/>
      <c r="B859" s="87"/>
      <c r="D859" s="87"/>
    </row>
    <row r="860" spans="1:5" ht="15" customHeight="1">
      <c r="A860" s="96"/>
      <c r="B860" s="96" t="s">
        <v>337</v>
      </c>
      <c r="C860" s="96"/>
      <c r="D860" s="96"/>
      <c r="E860" s="96"/>
    </row>
    <row r="861" spans="3:4" s="375" customFormat="1" ht="12.75" customHeight="1">
      <c r="C861" s="498" t="s">
        <v>340</v>
      </c>
      <c r="D861" s="444"/>
    </row>
    <row r="862" ht="9" customHeight="1">
      <c r="C862" s="445" t="s">
        <v>146</v>
      </c>
    </row>
    <row r="863" spans="1:5" ht="13.5" customHeight="1">
      <c r="A863" s="337" t="s">
        <v>6</v>
      </c>
      <c r="B863" s="2"/>
      <c r="C863" s="2"/>
      <c r="D863" s="2"/>
      <c r="E863" s="376"/>
    </row>
    <row r="864" spans="1:5" ht="15">
      <c r="A864" s="336" t="s">
        <v>250</v>
      </c>
      <c r="B864" s="1"/>
      <c r="C864" s="1"/>
      <c r="D864" s="1"/>
      <c r="E864" s="316"/>
    </row>
    <row r="865" spans="1:5" ht="6" customHeight="1">
      <c r="A865" s="336"/>
      <c r="B865" s="1"/>
      <c r="C865" s="1"/>
      <c r="D865" s="1"/>
      <c r="E865" s="316"/>
    </row>
    <row r="866" spans="1:2" ht="12" customHeight="1">
      <c r="A866" s="1" t="s">
        <v>7</v>
      </c>
      <c r="B866" s="1"/>
    </row>
    <row r="867" spans="1:5" ht="18.75" customHeight="1" thickBot="1">
      <c r="A867" s="580" t="s">
        <v>333</v>
      </c>
      <c r="B867" s="580"/>
      <c r="C867" s="580"/>
      <c r="D867" s="580"/>
      <c r="E867" s="580"/>
    </row>
    <row r="868" spans="1:5" s="501" customFormat="1" ht="11.25" customHeight="1" thickBot="1">
      <c r="A868" s="307" t="s">
        <v>8</v>
      </c>
      <c r="B868" s="308" t="s">
        <v>9</v>
      </c>
      <c r="C868" s="308" t="s">
        <v>10</v>
      </c>
      <c r="D868" s="308" t="s">
        <v>11</v>
      </c>
      <c r="E868" s="309" t="s">
        <v>12</v>
      </c>
    </row>
    <row r="869" spans="1:5" s="501" customFormat="1" ht="13.5" customHeight="1">
      <c r="A869" s="159" t="s">
        <v>166</v>
      </c>
      <c r="B869" s="566" t="s">
        <v>171</v>
      </c>
      <c r="C869" s="567"/>
      <c r="D869" s="568"/>
      <c r="E869" s="569"/>
    </row>
    <row r="870" spans="1:5" s="501" customFormat="1" ht="16.5" customHeight="1">
      <c r="A870" s="535" t="s">
        <v>15</v>
      </c>
      <c r="B870" s="462" t="s">
        <v>109</v>
      </c>
      <c r="C870" s="298" t="s">
        <v>307</v>
      </c>
      <c r="D870" s="532" t="s">
        <v>111</v>
      </c>
      <c r="E870" s="503">
        <v>0.2</v>
      </c>
    </row>
    <row r="871" spans="1:5" s="501" customFormat="1" ht="15.75" customHeight="1">
      <c r="A871" s="513" t="s">
        <v>21</v>
      </c>
      <c r="B871" s="499" t="s">
        <v>112</v>
      </c>
      <c r="C871" s="298" t="s">
        <v>307</v>
      </c>
      <c r="D871" s="500" t="s">
        <v>334</v>
      </c>
      <c r="E871" s="503">
        <f>ROUND(51.85*E872/100,2)+ROUND(1.017*E873,2)+ROUND(0.034*E874,2)</f>
        <v>7.2</v>
      </c>
    </row>
    <row r="872" spans="1:5" s="501" customFormat="1" ht="13.5" customHeight="1">
      <c r="A872" s="237" t="s">
        <v>60</v>
      </c>
      <c r="B872" s="240" t="s">
        <v>113</v>
      </c>
      <c r="C872" s="504" t="s">
        <v>202</v>
      </c>
      <c r="D872" s="238"/>
      <c r="E872" s="505">
        <v>8.1</v>
      </c>
    </row>
    <row r="873" spans="1:5" s="501" customFormat="1" ht="14.25" customHeight="1">
      <c r="A873" s="157" t="s">
        <v>72</v>
      </c>
      <c r="B873" s="65" t="s">
        <v>114</v>
      </c>
      <c r="C873" s="99" t="s">
        <v>308</v>
      </c>
      <c r="D873" s="99" t="s">
        <v>324</v>
      </c>
      <c r="E873" s="506">
        <v>2.82</v>
      </c>
    </row>
    <row r="874" spans="1:5" s="501" customFormat="1" ht="13.5" customHeight="1">
      <c r="A874" s="243" t="s">
        <v>115</v>
      </c>
      <c r="B874" s="239" t="s">
        <v>116</v>
      </c>
      <c r="C874" s="99" t="s">
        <v>308</v>
      </c>
      <c r="D874" s="253" t="s">
        <v>143</v>
      </c>
      <c r="E874" s="507">
        <v>3.78</v>
      </c>
    </row>
    <row r="875" spans="1:5" s="501" customFormat="1" ht="12.75" customHeight="1">
      <c r="A875" s="529" t="s">
        <v>84</v>
      </c>
      <c r="B875" s="531" t="s">
        <v>117</v>
      </c>
      <c r="C875" s="99" t="s">
        <v>308</v>
      </c>
      <c r="D875" s="532" t="s">
        <v>121</v>
      </c>
      <c r="E875" s="508">
        <f>E870+E871</f>
        <v>7.4</v>
      </c>
    </row>
    <row r="876" spans="1:5" s="501" customFormat="1" ht="12.75" customHeight="1">
      <c r="A876" s="529" t="s">
        <v>85</v>
      </c>
      <c r="B876" s="542" t="s">
        <v>341</v>
      </c>
      <c r="C876" s="99" t="s">
        <v>308</v>
      </c>
      <c r="D876" s="65"/>
      <c r="E876" s="536">
        <f>E875*1.09</f>
        <v>8.066</v>
      </c>
    </row>
    <row r="877" spans="1:5" s="501" customFormat="1" ht="12.75" customHeight="1">
      <c r="A877" s="529" t="s">
        <v>87</v>
      </c>
      <c r="B877" s="530" t="s">
        <v>119</v>
      </c>
      <c r="C877" s="99" t="s">
        <v>308</v>
      </c>
      <c r="D877" s="240"/>
      <c r="E877" s="509">
        <v>7.2</v>
      </c>
    </row>
    <row r="878" spans="1:5" s="501" customFormat="1" ht="15">
      <c r="A878" s="135" t="s">
        <v>89</v>
      </c>
      <c r="B878" s="65" t="s">
        <v>120</v>
      </c>
      <c r="C878" s="76" t="s">
        <v>95</v>
      </c>
      <c r="D878" s="65"/>
      <c r="E878" s="509">
        <f>(E875/E877)*100-100</f>
        <v>2.7777777777777857</v>
      </c>
    </row>
    <row r="879" spans="1:5" s="501" customFormat="1" ht="13.5" customHeight="1">
      <c r="A879" s="159" t="s">
        <v>167</v>
      </c>
      <c r="B879" s="566" t="s">
        <v>164</v>
      </c>
      <c r="C879" s="567"/>
      <c r="D879" s="568"/>
      <c r="E879" s="569"/>
    </row>
    <row r="880" spans="1:5" s="501" customFormat="1" ht="14.25" customHeight="1">
      <c r="A880" s="535" t="s">
        <v>15</v>
      </c>
      <c r="B880" s="462" t="s">
        <v>109</v>
      </c>
      <c r="C880" s="298" t="s">
        <v>233</v>
      </c>
      <c r="D880" s="532" t="s">
        <v>111</v>
      </c>
      <c r="E880" s="523">
        <v>0.2</v>
      </c>
    </row>
    <row r="881" spans="1:5" s="501" customFormat="1" ht="15.75" customHeight="1">
      <c r="A881" s="535" t="s">
        <v>21</v>
      </c>
      <c r="B881" s="534" t="s">
        <v>112</v>
      </c>
      <c r="C881" s="298" t="s">
        <v>233</v>
      </c>
      <c r="D881" s="532" t="s">
        <v>335</v>
      </c>
      <c r="E881" s="503">
        <f>51*E872/100+1*E873+0.034*E874</f>
        <v>7.079519999999999</v>
      </c>
    </row>
    <row r="882" spans="1:5" s="501" customFormat="1" ht="12.75" customHeight="1">
      <c r="A882" s="529" t="s">
        <v>60</v>
      </c>
      <c r="B882" s="531" t="s">
        <v>117</v>
      </c>
      <c r="C882" s="298" t="s">
        <v>233</v>
      </c>
      <c r="D882" s="532" t="s">
        <v>121</v>
      </c>
      <c r="E882" s="508">
        <f>ROUND(E880+E881,2)</f>
        <v>7.28</v>
      </c>
    </row>
    <row r="883" spans="1:5" s="501" customFormat="1" ht="12.75" customHeight="1" thickBot="1">
      <c r="A883" s="537" t="s">
        <v>72</v>
      </c>
      <c r="B883" s="538" t="s">
        <v>118</v>
      </c>
      <c r="C883" s="539" t="s">
        <v>233</v>
      </c>
      <c r="D883" s="540"/>
      <c r="E883" s="541">
        <f>E882*1.21</f>
        <v>8.8088</v>
      </c>
    </row>
    <row r="884" spans="1:5" s="501" customFormat="1" ht="12.75" customHeight="1">
      <c r="A884" s="602" t="s">
        <v>342</v>
      </c>
      <c r="B884" s="602"/>
      <c r="C884" s="602"/>
      <c r="D884" s="602"/>
      <c r="E884" s="602"/>
    </row>
    <row r="885" spans="1:5" ht="11.25" customHeight="1">
      <c r="A885" s="264"/>
      <c r="B885" s="265"/>
      <c r="C885" s="266"/>
      <c r="D885" s="267"/>
      <c r="E885" s="268"/>
    </row>
    <row r="886" spans="2:4" ht="15">
      <c r="B886" t="s">
        <v>144</v>
      </c>
      <c r="C886" t="s">
        <v>148</v>
      </c>
      <c r="D886" s="101" t="s">
        <v>145</v>
      </c>
    </row>
  </sheetData>
  <sheetProtection/>
  <mergeCells count="248">
    <mergeCell ref="A884:E884"/>
    <mergeCell ref="B879:E879"/>
    <mergeCell ref="D849:E849"/>
    <mergeCell ref="D850:E850"/>
    <mergeCell ref="A867:E867"/>
    <mergeCell ref="B869:E869"/>
    <mergeCell ref="A799:A800"/>
    <mergeCell ref="B799:B800"/>
    <mergeCell ref="D805:E805"/>
    <mergeCell ref="D806:E806"/>
    <mergeCell ref="A823:E823"/>
    <mergeCell ref="A789:A790"/>
    <mergeCell ref="B789:B790"/>
    <mergeCell ref="A791:A792"/>
    <mergeCell ref="B791:B792"/>
    <mergeCell ref="B794:E794"/>
    <mergeCell ref="B797:B798"/>
    <mergeCell ref="D797:D798"/>
    <mergeCell ref="D761:E761"/>
    <mergeCell ref="D762:E762"/>
    <mergeCell ref="A779:E779"/>
    <mergeCell ref="B781:E781"/>
    <mergeCell ref="A787:A788"/>
    <mergeCell ref="B787:B788"/>
    <mergeCell ref="D787:D788"/>
    <mergeCell ref="A626:A627"/>
    <mergeCell ref="B626:B627"/>
    <mergeCell ref="D626:D627"/>
    <mergeCell ref="A628:A629"/>
    <mergeCell ref="B628:B629"/>
    <mergeCell ref="A622:A623"/>
    <mergeCell ref="B622:B623"/>
    <mergeCell ref="D622:D623"/>
    <mergeCell ref="A624:A625"/>
    <mergeCell ref="B624:B625"/>
    <mergeCell ref="D624:D625"/>
    <mergeCell ref="A615:A616"/>
    <mergeCell ref="B615:B616"/>
    <mergeCell ref="D615:D616"/>
    <mergeCell ref="A617:A618"/>
    <mergeCell ref="B617:B618"/>
    <mergeCell ref="B621:E621"/>
    <mergeCell ref="B607:E607"/>
    <mergeCell ref="A608:A609"/>
    <mergeCell ref="B608:B609"/>
    <mergeCell ref="D608:D609"/>
    <mergeCell ref="A610:A611"/>
    <mergeCell ref="B610:B611"/>
    <mergeCell ref="D610:D611"/>
    <mergeCell ref="A506:A507"/>
    <mergeCell ref="B506:B507"/>
    <mergeCell ref="D506:D507"/>
    <mergeCell ref="A508:A509"/>
    <mergeCell ref="B508:B509"/>
    <mergeCell ref="A502:A503"/>
    <mergeCell ref="B502:B503"/>
    <mergeCell ref="D502:D503"/>
    <mergeCell ref="A504:A505"/>
    <mergeCell ref="B504:B505"/>
    <mergeCell ref="D504:D505"/>
    <mergeCell ref="A495:A496"/>
    <mergeCell ref="B495:B496"/>
    <mergeCell ref="D495:D496"/>
    <mergeCell ref="A497:A498"/>
    <mergeCell ref="B497:B498"/>
    <mergeCell ref="B501:E501"/>
    <mergeCell ref="B487:E487"/>
    <mergeCell ref="A488:A489"/>
    <mergeCell ref="B488:B489"/>
    <mergeCell ref="D488:D489"/>
    <mergeCell ref="A490:A491"/>
    <mergeCell ref="B490:B491"/>
    <mergeCell ref="D490:D491"/>
    <mergeCell ref="B389:E389"/>
    <mergeCell ref="B446:E446"/>
    <mergeCell ref="B460:E460"/>
    <mergeCell ref="B422:E422"/>
    <mergeCell ref="B346:E346"/>
    <mergeCell ref="B280:E280"/>
    <mergeCell ref="B290:E290"/>
    <mergeCell ref="K20:L20"/>
    <mergeCell ref="B145:E145"/>
    <mergeCell ref="B155:E155"/>
    <mergeCell ref="B178:E178"/>
    <mergeCell ref="B188:E188"/>
    <mergeCell ref="B379:E379"/>
    <mergeCell ref="B211:E211"/>
    <mergeCell ref="B356:E356"/>
    <mergeCell ref="B221:E221"/>
    <mergeCell ref="B313:E313"/>
    <mergeCell ref="B246:E246"/>
    <mergeCell ref="B447:B448"/>
    <mergeCell ref="B449:B450"/>
    <mergeCell ref="B454:B455"/>
    <mergeCell ref="B456:B457"/>
    <mergeCell ref="A456:A457"/>
    <mergeCell ref="A454:A455"/>
    <mergeCell ref="B412:E412"/>
    <mergeCell ref="B256:E256"/>
    <mergeCell ref="B323:E323"/>
    <mergeCell ref="B461:B462"/>
    <mergeCell ref="B463:B464"/>
    <mergeCell ref="B465:B466"/>
    <mergeCell ref="B467:B468"/>
    <mergeCell ref="A449:A450"/>
    <mergeCell ref="A447:A448"/>
    <mergeCell ref="A461:A462"/>
    <mergeCell ref="A463:A464"/>
    <mergeCell ref="A465:A466"/>
    <mergeCell ref="A467:A468"/>
    <mergeCell ref="D461:D462"/>
    <mergeCell ref="D463:D464"/>
    <mergeCell ref="D465:D466"/>
    <mergeCell ref="D449:D450"/>
    <mergeCell ref="D447:D448"/>
    <mergeCell ref="D454:D455"/>
    <mergeCell ref="B527:E527"/>
    <mergeCell ref="A528:A529"/>
    <mergeCell ref="B528:B529"/>
    <mergeCell ref="D528:D529"/>
    <mergeCell ref="A530:A531"/>
    <mergeCell ref="B530:B531"/>
    <mergeCell ref="D530:D531"/>
    <mergeCell ref="D544:D545"/>
    <mergeCell ref="A535:A536"/>
    <mergeCell ref="B535:B536"/>
    <mergeCell ref="D535:D536"/>
    <mergeCell ref="A537:A538"/>
    <mergeCell ref="B537:B538"/>
    <mergeCell ref="B541:E541"/>
    <mergeCell ref="A546:A547"/>
    <mergeCell ref="B546:B547"/>
    <mergeCell ref="D546:D547"/>
    <mergeCell ref="A548:A549"/>
    <mergeCell ref="B548:B549"/>
    <mergeCell ref="A542:A543"/>
    <mergeCell ref="B542:B543"/>
    <mergeCell ref="D542:D543"/>
    <mergeCell ref="A544:A545"/>
    <mergeCell ref="B544:B545"/>
    <mergeCell ref="B567:E567"/>
    <mergeCell ref="A568:A569"/>
    <mergeCell ref="B568:B569"/>
    <mergeCell ref="D568:D569"/>
    <mergeCell ref="A570:A571"/>
    <mergeCell ref="B570:B571"/>
    <mergeCell ref="D570:D571"/>
    <mergeCell ref="D584:D585"/>
    <mergeCell ref="A575:A576"/>
    <mergeCell ref="B575:B576"/>
    <mergeCell ref="D575:D576"/>
    <mergeCell ref="A577:A578"/>
    <mergeCell ref="B577:B578"/>
    <mergeCell ref="B581:E581"/>
    <mergeCell ref="A586:A587"/>
    <mergeCell ref="B586:B587"/>
    <mergeCell ref="D586:D587"/>
    <mergeCell ref="A588:A589"/>
    <mergeCell ref="B588:B589"/>
    <mergeCell ref="A582:A583"/>
    <mergeCell ref="B582:B583"/>
    <mergeCell ref="D582:D583"/>
    <mergeCell ref="A584:A585"/>
    <mergeCell ref="B584:B585"/>
    <mergeCell ref="B648:E648"/>
    <mergeCell ref="A649:A650"/>
    <mergeCell ref="B649:B650"/>
    <mergeCell ref="D649:D650"/>
    <mergeCell ref="A651:A652"/>
    <mergeCell ref="B651:B652"/>
    <mergeCell ref="D651:D652"/>
    <mergeCell ref="D666:D667"/>
    <mergeCell ref="A656:A657"/>
    <mergeCell ref="B656:B657"/>
    <mergeCell ref="D656:D657"/>
    <mergeCell ref="A658:A659"/>
    <mergeCell ref="B658:B659"/>
    <mergeCell ref="B663:E663"/>
    <mergeCell ref="A660:A661"/>
    <mergeCell ref="B660:B661"/>
    <mergeCell ref="A668:A669"/>
    <mergeCell ref="B668:B669"/>
    <mergeCell ref="D668:D669"/>
    <mergeCell ref="A670:A671"/>
    <mergeCell ref="B670:B671"/>
    <mergeCell ref="A664:A665"/>
    <mergeCell ref="B664:B665"/>
    <mergeCell ref="D664:D665"/>
    <mergeCell ref="A666:A667"/>
    <mergeCell ref="B666:B667"/>
    <mergeCell ref="B689:E689"/>
    <mergeCell ref="A690:A691"/>
    <mergeCell ref="B690:B691"/>
    <mergeCell ref="D690:D691"/>
    <mergeCell ref="A692:A693"/>
    <mergeCell ref="B692:B693"/>
    <mergeCell ref="D692:D693"/>
    <mergeCell ref="A697:A698"/>
    <mergeCell ref="B697:B698"/>
    <mergeCell ref="D697:D698"/>
    <mergeCell ref="A699:A700"/>
    <mergeCell ref="B699:B700"/>
    <mergeCell ref="A701:A702"/>
    <mergeCell ref="B701:B702"/>
    <mergeCell ref="B704:E704"/>
    <mergeCell ref="A705:A706"/>
    <mergeCell ref="B705:B706"/>
    <mergeCell ref="D705:D706"/>
    <mergeCell ref="A707:A708"/>
    <mergeCell ref="B707:B708"/>
    <mergeCell ref="D707:D708"/>
    <mergeCell ref="B747:B748"/>
    <mergeCell ref="B737:E737"/>
    <mergeCell ref="A709:A710"/>
    <mergeCell ref="B709:B710"/>
    <mergeCell ref="D709:D710"/>
    <mergeCell ref="A711:A712"/>
    <mergeCell ref="B711:B712"/>
    <mergeCell ref="D717:E717"/>
    <mergeCell ref="D718:E718"/>
    <mergeCell ref="B750:E750"/>
    <mergeCell ref="A735:E735"/>
    <mergeCell ref="A743:A744"/>
    <mergeCell ref="B743:B744"/>
    <mergeCell ref="D743:D744"/>
    <mergeCell ref="A745:A746"/>
    <mergeCell ref="B745:B746"/>
    <mergeCell ref="A747:A748"/>
    <mergeCell ref="B838:E838"/>
    <mergeCell ref="A841:A842"/>
    <mergeCell ref="B841:B842"/>
    <mergeCell ref="D841:D842"/>
    <mergeCell ref="A753:A754"/>
    <mergeCell ref="B753:B754"/>
    <mergeCell ref="D753:D754"/>
    <mergeCell ref="A755:A756"/>
    <mergeCell ref="B755:B756"/>
    <mergeCell ref="A797:A798"/>
    <mergeCell ref="B825:E825"/>
    <mergeCell ref="A831:A832"/>
    <mergeCell ref="B831:B832"/>
    <mergeCell ref="D831:D832"/>
    <mergeCell ref="A843:A844"/>
    <mergeCell ref="B843:B844"/>
    <mergeCell ref="A833:A834"/>
    <mergeCell ref="B833:B834"/>
    <mergeCell ref="A835:A836"/>
    <mergeCell ref="B835:B836"/>
  </mergeCells>
  <printOptions/>
  <pageMargins left="0.7874015748031497" right="0.7874015748031497" top="0.5118110236220472" bottom="0.1968503937007874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Naudotojas</dc:creator>
  <cp:keywords/>
  <dc:description/>
  <cp:lastModifiedBy>Naudotojas</cp:lastModifiedBy>
  <cp:lastPrinted>2015-06-26T06:16:51Z</cp:lastPrinted>
  <dcterms:created xsi:type="dcterms:W3CDTF">2013-07-23T12:08:15Z</dcterms:created>
  <dcterms:modified xsi:type="dcterms:W3CDTF">2015-06-26T08:14:52Z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